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t\Desktop\パチンコツール\機種一覧\"/>
    </mc:Choice>
  </mc:AlternateContent>
  <xr:revisionPtr revIDLastSave="0" documentId="13_ncr:1_{B6F48DF0-62A3-4D08-A5A1-0D8E217C70E4}" xr6:coauthVersionLast="45" xr6:coauthVersionMax="45" xr10:uidLastSave="{00000000-0000-0000-0000-000000000000}"/>
  <bookViews>
    <workbookView xWindow="-110" yWindow="-110" windowWidth="19420" windowHeight="10420" tabRatio="616" activeTab="4" xr2:uid="{24FAE122-66FF-4917-A697-43B5C0E50D8D}"/>
  </bookViews>
  <sheets>
    <sheet name="通常時" sheetId="1" r:id="rId1"/>
    <sheet name="サポ時" sheetId="4" r:id="rId2"/>
    <sheet name="打始" sheetId="5" r:id="rId3"/>
    <sheet name="実践結果" sheetId="3" r:id="rId4"/>
    <sheet name="注意事項" sheetId="6" r:id="rId5"/>
    <sheet name="スペック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B11" i="4"/>
  <c r="B10" i="4"/>
  <c r="D12" i="3" l="1"/>
  <c r="B9" i="1" l="1"/>
  <c r="B8" i="2" l="1"/>
  <c r="B12" i="1" l="1"/>
  <c r="D17" i="2" s="1"/>
  <c r="D8" i="3"/>
  <c r="D7" i="3"/>
  <c r="B16" i="1"/>
  <c r="B9" i="2"/>
  <c r="B11" i="2" s="1"/>
  <c r="B10" i="2" s="1"/>
  <c r="B18" i="2"/>
  <c r="B17" i="2"/>
  <c r="B8" i="1"/>
  <c r="B14" i="1"/>
  <c r="B15" i="1"/>
  <c r="B12" i="5"/>
  <c r="E14" i="3"/>
  <c r="C20" i="2"/>
  <c r="D11" i="3"/>
  <c r="F3" i="2"/>
  <c r="D3" i="2"/>
  <c r="D9" i="3"/>
  <c r="D10" i="3"/>
  <c r="F18" i="2" l="1"/>
  <c r="B5" i="1"/>
  <c r="B12" i="3" s="1"/>
  <c r="B6" i="1"/>
  <c r="B1" i="1"/>
  <c r="B11" i="1"/>
  <c r="B10" i="3" s="1"/>
  <c r="D13" i="3"/>
  <c r="B3" i="1"/>
  <c r="B8" i="3" s="1"/>
  <c r="B15" i="2"/>
  <c r="B12" i="2"/>
  <c r="D16" i="2" s="1"/>
  <c r="B14" i="2"/>
  <c r="B11" i="3" l="1"/>
  <c r="E2" i="3" s="1"/>
  <c r="E20" i="2"/>
  <c r="F20" i="2"/>
  <c r="D18" i="2"/>
  <c r="D22" i="2" s="1"/>
  <c r="B7" i="3"/>
  <c r="B16" i="2"/>
  <c r="E16" i="2"/>
  <c r="E18" i="2" s="1"/>
  <c r="D20" i="2" l="1"/>
  <c r="C22" i="2" l="1"/>
  <c r="D1" i="1" s="1"/>
  <c r="F22" i="2"/>
  <c r="E22" i="2"/>
  <c r="B4" i="1" l="1"/>
  <c r="B9" i="3" s="1"/>
  <c r="E5" i="3"/>
  <c r="B3" i="3"/>
  <c r="C4" i="3"/>
  <c r="B4" i="3"/>
  <c r="C5" i="3"/>
  <c r="B5" i="3"/>
  <c r="D3" i="3"/>
  <c r="D4" i="3"/>
  <c r="C3" i="3"/>
  <c r="E3" i="3"/>
  <c r="E4" i="3"/>
  <c r="D5" i="3"/>
</calcChain>
</file>

<file path=xl/sharedStrings.xml><?xml version="1.0" encoding="utf-8"?>
<sst xmlns="http://schemas.openxmlformats.org/spreadsheetml/2006/main" count="118" uniqueCount="102">
  <si>
    <t>回転数/1k</t>
    <rPh sb="0" eb="3">
      <t>カイテンスウ</t>
    </rPh>
    <phoneticPr fontId="1"/>
  </si>
  <si>
    <t>収支</t>
    <rPh sb="0" eb="2">
      <t>シュウシ</t>
    </rPh>
    <phoneticPr fontId="1"/>
  </si>
  <si>
    <t>仕事量</t>
    <rPh sb="0" eb="2">
      <t>シゴト</t>
    </rPh>
    <rPh sb="2" eb="3">
      <t>リョウ</t>
    </rPh>
    <phoneticPr fontId="1"/>
  </si>
  <si>
    <t>持玉率</t>
    <rPh sb="0" eb="1">
      <t>モ</t>
    </rPh>
    <rPh sb="1" eb="2">
      <t>タマ</t>
    </rPh>
    <rPh sb="2" eb="3">
      <t>リツ</t>
    </rPh>
    <phoneticPr fontId="1"/>
  </si>
  <si>
    <t>通常回転</t>
    <rPh sb="0" eb="2">
      <t>ツウジョウ</t>
    </rPh>
    <rPh sb="2" eb="4">
      <t>カイテン</t>
    </rPh>
    <phoneticPr fontId="1"/>
  </si>
  <si>
    <t>総回転</t>
    <rPh sb="0" eb="1">
      <t>ソウ</t>
    </rPh>
    <rPh sb="1" eb="3">
      <t>カイテン</t>
    </rPh>
    <phoneticPr fontId="1"/>
  </si>
  <si>
    <t>貯玉</t>
    <rPh sb="0" eb="1">
      <t>チョ</t>
    </rPh>
    <rPh sb="1" eb="2">
      <t>タマ</t>
    </rPh>
    <phoneticPr fontId="1"/>
  </si>
  <si>
    <t>持込玉</t>
    <rPh sb="0" eb="2">
      <t>モチコミ</t>
    </rPh>
    <rPh sb="2" eb="3">
      <t>ダマ</t>
    </rPh>
    <phoneticPr fontId="1"/>
  </si>
  <si>
    <t>持出玉</t>
    <rPh sb="0" eb="2">
      <t>モチダシ</t>
    </rPh>
    <rPh sb="2" eb="3">
      <t>タマ</t>
    </rPh>
    <phoneticPr fontId="1"/>
  </si>
  <si>
    <t>現金</t>
    <rPh sb="0" eb="2">
      <t>ゲンキン</t>
    </rPh>
    <phoneticPr fontId="1"/>
  </si>
  <si>
    <t>店名</t>
    <rPh sb="0" eb="2">
      <t>テンメイ</t>
    </rPh>
    <phoneticPr fontId="1"/>
  </si>
  <si>
    <t>台番</t>
    <rPh sb="0" eb="1">
      <t>ダイ</t>
    </rPh>
    <rPh sb="1" eb="2">
      <t>バン</t>
    </rPh>
    <phoneticPr fontId="1"/>
  </si>
  <si>
    <t>名前</t>
    <rPh sb="0" eb="2">
      <t>ナマエ</t>
    </rPh>
    <phoneticPr fontId="1"/>
  </si>
  <si>
    <t>貯始</t>
    <rPh sb="0" eb="1">
      <t>チョ</t>
    </rPh>
    <rPh sb="1" eb="2">
      <t>ハジ</t>
    </rPh>
    <phoneticPr fontId="1"/>
  </si>
  <si>
    <t>貯終</t>
    <rPh sb="0" eb="1">
      <t>チョ</t>
    </rPh>
    <rPh sb="1" eb="2">
      <t>オ</t>
    </rPh>
    <phoneticPr fontId="1"/>
  </si>
  <si>
    <t>持金</t>
    <rPh sb="0" eb="1">
      <t>モ</t>
    </rPh>
    <rPh sb="1" eb="2">
      <t>キン</t>
    </rPh>
    <phoneticPr fontId="1"/>
  </si>
  <si>
    <t>期待値</t>
    <rPh sb="0" eb="3">
      <t>キタイチ</t>
    </rPh>
    <phoneticPr fontId="1"/>
  </si>
  <si>
    <t>残玉</t>
    <rPh sb="0" eb="1">
      <t>ノコ</t>
    </rPh>
    <rPh sb="1" eb="2">
      <t>タマ</t>
    </rPh>
    <phoneticPr fontId="1"/>
  </si>
  <si>
    <t>総Ｒ数</t>
    <rPh sb="0" eb="1">
      <t>ソウ</t>
    </rPh>
    <rPh sb="2" eb="3">
      <t>スウ</t>
    </rPh>
    <phoneticPr fontId="1"/>
  </si>
  <si>
    <t>出玉置換</t>
    <rPh sb="0" eb="2">
      <t>デダマ</t>
    </rPh>
    <rPh sb="2" eb="4">
      <t>チカン</t>
    </rPh>
    <phoneticPr fontId="1"/>
  </si>
  <si>
    <t>換金率/1k</t>
    <rPh sb="0" eb="2">
      <t>カンキン</t>
    </rPh>
    <rPh sb="2" eb="3">
      <t>リツ</t>
    </rPh>
    <phoneticPr fontId="1"/>
  </si>
  <si>
    <t>貸玉/1k</t>
    <rPh sb="0" eb="1">
      <t>カ</t>
    </rPh>
    <rPh sb="1" eb="2">
      <t>ダマ</t>
    </rPh>
    <phoneticPr fontId="1"/>
  </si>
  <si>
    <t>回転数算出用(k)</t>
    <rPh sb="0" eb="3">
      <t>カイテンスウ</t>
    </rPh>
    <rPh sb="3" eb="5">
      <t>サンシュツ</t>
    </rPh>
    <rPh sb="5" eb="6">
      <t>ヨウ</t>
    </rPh>
    <phoneticPr fontId="1"/>
  </si>
  <si>
    <t>ボーダー算出用</t>
    <rPh sb="4" eb="6">
      <t>サンシュツ</t>
    </rPh>
    <rPh sb="6" eb="7">
      <t>ヨウ</t>
    </rPh>
    <phoneticPr fontId="1"/>
  </si>
  <si>
    <t>技術介入</t>
    <rPh sb="0" eb="4">
      <t>ギジュツカイニュウ</t>
    </rPh>
    <phoneticPr fontId="1"/>
  </si>
  <si>
    <t>公表値</t>
    <rPh sb="0" eb="2">
      <t>コウヒョウ</t>
    </rPh>
    <rPh sb="2" eb="3">
      <t>チ</t>
    </rPh>
    <phoneticPr fontId="1"/>
  </si>
  <si>
    <t>1R出玉</t>
    <rPh sb="2" eb="4">
      <t>デダマ</t>
    </rPh>
    <phoneticPr fontId="1"/>
  </si>
  <si>
    <t>低確時</t>
    <rPh sb="0" eb="2">
      <t>テイカク</t>
    </rPh>
    <rPh sb="2" eb="3">
      <t>ジ</t>
    </rPh>
    <phoneticPr fontId="1"/>
  </si>
  <si>
    <t>高確時</t>
    <rPh sb="0" eb="2">
      <t>コウカク</t>
    </rPh>
    <rPh sb="2" eb="3">
      <t>ジ</t>
    </rPh>
    <phoneticPr fontId="1"/>
  </si>
  <si>
    <t>時短引戻</t>
    <rPh sb="0" eb="2">
      <t>ジタン</t>
    </rPh>
    <rPh sb="2" eb="3">
      <t>ヒ</t>
    </rPh>
    <rPh sb="3" eb="4">
      <t>モド</t>
    </rPh>
    <phoneticPr fontId="1"/>
  </si>
  <si>
    <t>時短</t>
    <rPh sb="0" eb="2">
      <t>ジタン</t>
    </rPh>
    <phoneticPr fontId="1"/>
  </si>
  <si>
    <t>確変(ST)</t>
    <rPh sb="0" eb="2">
      <t>カクヘン</t>
    </rPh>
    <phoneticPr fontId="1"/>
  </si>
  <si>
    <t>当たり振り分け</t>
    <rPh sb="0" eb="1">
      <t>ア</t>
    </rPh>
    <rPh sb="3" eb="4">
      <t>フ</t>
    </rPh>
    <rPh sb="5" eb="6">
      <t>ワ</t>
    </rPh>
    <phoneticPr fontId="1"/>
  </si>
  <si>
    <t>通常時</t>
    <rPh sb="0" eb="2">
      <t>ツウジョウ</t>
    </rPh>
    <rPh sb="2" eb="3">
      <t>ジ</t>
    </rPh>
    <phoneticPr fontId="1"/>
  </si>
  <si>
    <t>電サポ</t>
    <rPh sb="0" eb="1">
      <t>デン</t>
    </rPh>
    <phoneticPr fontId="1"/>
  </si>
  <si>
    <t>確変連荘数</t>
    <rPh sb="0" eb="2">
      <t>カクヘン</t>
    </rPh>
    <rPh sb="2" eb="4">
      <t>レンチャン</t>
    </rPh>
    <rPh sb="4" eb="5">
      <t>スウ</t>
    </rPh>
    <phoneticPr fontId="1"/>
  </si>
  <si>
    <t>確変連荘</t>
    <rPh sb="0" eb="2">
      <t>カクヘン</t>
    </rPh>
    <rPh sb="2" eb="4">
      <t>レンチャン</t>
    </rPh>
    <phoneticPr fontId="1"/>
  </si>
  <si>
    <t>時短連荘数</t>
    <rPh sb="0" eb="2">
      <t>ジタン</t>
    </rPh>
    <rPh sb="2" eb="4">
      <t>レンチャン</t>
    </rPh>
    <rPh sb="4" eb="5">
      <t>スウ</t>
    </rPh>
    <phoneticPr fontId="1"/>
  </si>
  <si>
    <t>平均連荘数</t>
    <rPh sb="0" eb="2">
      <t>ヘイキン</t>
    </rPh>
    <rPh sb="2" eb="4">
      <t>レンチャン</t>
    </rPh>
    <rPh sb="4" eb="5">
      <t>スウ</t>
    </rPh>
    <phoneticPr fontId="1"/>
  </si>
  <si>
    <t>確変割合</t>
    <rPh sb="0" eb="2">
      <t>カクヘン</t>
    </rPh>
    <rPh sb="2" eb="4">
      <t>ワリアイ</t>
    </rPh>
    <phoneticPr fontId="1"/>
  </si>
  <si>
    <t>サポ増減</t>
    <rPh sb="2" eb="4">
      <t>ゾウゲン</t>
    </rPh>
    <phoneticPr fontId="1"/>
  </si>
  <si>
    <t>総出玉</t>
    <rPh sb="0" eb="1">
      <t>ソウ</t>
    </rPh>
    <rPh sb="1" eb="3">
      <t>デダマ</t>
    </rPh>
    <phoneticPr fontId="1"/>
  </si>
  <si>
    <t>初当平均R</t>
    <rPh sb="0" eb="1">
      <t>ハツ</t>
    </rPh>
    <rPh sb="1" eb="2">
      <t>ア</t>
    </rPh>
    <rPh sb="2" eb="4">
      <t>ヘイキン</t>
    </rPh>
    <phoneticPr fontId="1"/>
  </si>
  <si>
    <t>1G出玉</t>
    <rPh sb="2" eb="4">
      <t>デダマ</t>
    </rPh>
    <phoneticPr fontId="1"/>
  </si>
  <si>
    <t>持玉率</t>
    <rPh sb="0" eb="1">
      <t>モチ</t>
    </rPh>
    <rPh sb="1" eb="2">
      <t>タマ</t>
    </rPh>
    <rPh sb="2" eb="3">
      <t>リツ</t>
    </rPh>
    <phoneticPr fontId="1"/>
  </si>
  <si>
    <t>ヘソ</t>
    <phoneticPr fontId="1"/>
  </si>
  <si>
    <t>サポ</t>
    <phoneticPr fontId="1"/>
  </si>
  <si>
    <t>ﾄｰﾀﾙ確率</t>
    <rPh sb="4" eb="6">
      <t>カクリツ</t>
    </rPh>
    <phoneticPr fontId="1"/>
  </si>
  <si>
    <t>着席時回転数</t>
    <rPh sb="0" eb="2">
      <t>チャクセキ</t>
    </rPh>
    <rPh sb="2" eb="3">
      <t>ジ</t>
    </rPh>
    <rPh sb="3" eb="6">
      <t>カイテンスウ</t>
    </rPh>
    <phoneticPr fontId="1"/>
  </si>
  <si>
    <t>着席時総回転</t>
    <rPh sb="0" eb="2">
      <t>チャクセキ</t>
    </rPh>
    <rPh sb="2" eb="3">
      <t>ジ</t>
    </rPh>
    <rPh sb="3" eb="4">
      <t>ソウ</t>
    </rPh>
    <rPh sb="4" eb="6">
      <t>カイテン</t>
    </rPh>
    <phoneticPr fontId="1"/>
  </si>
  <si>
    <t>増減数</t>
    <rPh sb="0" eb="2">
      <t>ゾウゲン</t>
    </rPh>
    <rPh sb="2" eb="3">
      <t>スウ</t>
    </rPh>
    <phoneticPr fontId="1"/>
  </si>
  <si>
    <t>終回転</t>
    <phoneticPr fontId="1"/>
  </si>
  <si>
    <t>ｻﾎﾟ増減</t>
    <rPh sb="3" eb="5">
      <t>ゾウゲン</t>
    </rPh>
    <phoneticPr fontId="1"/>
  </si>
  <si>
    <t>置換</t>
    <rPh sb="0" eb="2">
      <t>チカン</t>
    </rPh>
    <phoneticPr fontId="1"/>
  </si>
  <si>
    <t>　　　  持玉率
回転数</t>
    <phoneticPr fontId="1"/>
  </si>
  <si>
    <t>投資残</t>
    <rPh sb="0" eb="2">
      <t>トウシ</t>
    </rPh>
    <rPh sb="2" eb="3">
      <t>ザン</t>
    </rPh>
    <phoneticPr fontId="1"/>
  </si>
  <si>
    <t>回転数</t>
    <rPh sb="0" eb="3">
      <t>カイテンスウ</t>
    </rPh>
    <phoneticPr fontId="1"/>
  </si>
  <si>
    <t>カード名義</t>
    <rPh sb="3" eb="5">
      <t>メイギ</t>
    </rPh>
    <phoneticPr fontId="1"/>
  </si>
  <si>
    <t>カード</t>
    <phoneticPr fontId="1"/>
  </si>
  <si>
    <t>時短平均R</t>
    <rPh sb="0" eb="2">
      <t>ジタン</t>
    </rPh>
    <rPh sb="2" eb="4">
      <t>ヘイキン</t>
    </rPh>
    <phoneticPr fontId="1"/>
  </si>
  <si>
    <t>確変平均R</t>
    <rPh sb="0" eb="2">
      <t>カクヘン</t>
    </rPh>
    <rPh sb="2" eb="4">
      <t>ヘイキン</t>
    </rPh>
    <phoneticPr fontId="1"/>
  </si>
  <si>
    <t>獲得ラウンド</t>
  </si>
  <si>
    <t>貯玉</t>
  </si>
  <si>
    <t>貯始</t>
  </si>
  <si>
    <t>貯終</t>
  </si>
  <si>
    <t>ボーダー</t>
    <phoneticPr fontId="1"/>
  </si>
  <si>
    <t>貯増減</t>
    <phoneticPr fontId="1"/>
  </si>
  <si>
    <t>換金</t>
    <rPh sb="0" eb="2">
      <t>カンキン</t>
    </rPh>
    <phoneticPr fontId="1"/>
  </si>
  <si>
    <t>持金</t>
    <rPh sb="0" eb="1">
      <t>モチ</t>
    </rPh>
    <rPh sb="1" eb="2">
      <t>キン</t>
    </rPh>
    <phoneticPr fontId="1"/>
  </si>
  <si>
    <t>投資</t>
    <rPh sb="0" eb="2">
      <t>トウシ</t>
    </rPh>
    <phoneticPr fontId="1"/>
  </si>
  <si>
    <t>ｷﾞｬｯﾌﾟ(円)</t>
    <rPh sb="7" eb="8">
      <t>エン</t>
    </rPh>
    <phoneticPr fontId="1"/>
  </si>
  <si>
    <t>回転収入(円)</t>
    <rPh sb="0" eb="2">
      <t>カイテン</t>
    </rPh>
    <rPh sb="2" eb="4">
      <t>シュウニュウ</t>
    </rPh>
    <rPh sb="5" eb="6">
      <t>エン</t>
    </rPh>
    <phoneticPr fontId="1"/>
  </si>
  <si>
    <t>持玉支出(円)</t>
    <rPh sb="0" eb="1">
      <t>ジ</t>
    </rPh>
    <rPh sb="1" eb="2">
      <t>タマ</t>
    </rPh>
    <rPh sb="2" eb="4">
      <t>シシュツ</t>
    </rPh>
    <rPh sb="5" eb="6">
      <t>エン</t>
    </rPh>
    <phoneticPr fontId="1"/>
  </si>
  <si>
    <t>現金支出(円)</t>
    <rPh sb="0" eb="2">
      <t>ゲンキン</t>
    </rPh>
    <rPh sb="2" eb="4">
      <t>シシュツ</t>
    </rPh>
    <rPh sb="5" eb="6">
      <t>エン</t>
    </rPh>
    <phoneticPr fontId="1"/>
  </si>
  <si>
    <t>現金ボダ(G)</t>
    <rPh sb="0" eb="2">
      <t>ゲンキン</t>
    </rPh>
    <phoneticPr fontId="1"/>
  </si>
  <si>
    <t>持玉ボダ(G)</t>
    <rPh sb="0" eb="1">
      <t>モチ</t>
    </rPh>
    <rPh sb="1" eb="2">
      <t>タマ</t>
    </rPh>
    <phoneticPr fontId="1"/>
  </si>
  <si>
    <t>持玉単価(円)</t>
    <rPh sb="0" eb="1">
      <t>モチ</t>
    </rPh>
    <rPh sb="1" eb="2">
      <t>タマ</t>
    </rPh>
    <rPh sb="2" eb="4">
      <t>タンカ</t>
    </rPh>
    <rPh sb="5" eb="6">
      <t>エン</t>
    </rPh>
    <phoneticPr fontId="1"/>
  </si>
  <si>
    <t>現金単価(円)</t>
    <rPh sb="0" eb="2">
      <t>ゲンキン</t>
    </rPh>
    <rPh sb="2" eb="4">
      <t>タンカ</t>
    </rPh>
    <rPh sb="5" eb="6">
      <t>エン</t>
    </rPh>
    <phoneticPr fontId="1"/>
  </si>
  <si>
    <t>0R</t>
  </si>
  <si>
    <t>0R</t>
    <phoneticPr fontId="1"/>
  </si>
  <si>
    <t>当+現G数</t>
    <rPh sb="0" eb="1">
      <t>ア</t>
    </rPh>
    <rPh sb="2" eb="3">
      <t>ゲン</t>
    </rPh>
    <rPh sb="4" eb="5">
      <t>スウ</t>
    </rPh>
    <phoneticPr fontId="1"/>
  </si>
  <si>
    <t>回転玉数(個)</t>
    <rPh sb="0" eb="2">
      <t>カイテン</t>
    </rPh>
    <rPh sb="2" eb="3">
      <t>タマ</t>
    </rPh>
    <rPh sb="3" eb="4">
      <t>スウ</t>
    </rPh>
    <rPh sb="5" eb="6">
      <t>コ</t>
    </rPh>
    <phoneticPr fontId="1"/>
  </si>
  <si>
    <t>3R(確変）</t>
    <phoneticPr fontId="1"/>
  </si>
  <si>
    <t>3R</t>
    <phoneticPr fontId="1"/>
  </si>
  <si>
    <t>10R(確変)</t>
    <phoneticPr fontId="1"/>
  </si>
  <si>
    <t>3R(確変)</t>
    <phoneticPr fontId="1"/>
  </si>
  <si>
    <t>10R</t>
    <phoneticPr fontId="1"/>
  </si>
  <si>
    <t>▼使い方はこちらから▼</t>
    <rPh sb="1" eb="2">
      <t>ツカ</t>
    </rPh>
    <rPh sb="3" eb="4">
      <t>カタ</t>
    </rPh>
    <phoneticPr fontId="1"/>
  </si>
  <si>
    <t>http://tkysmoney.com/pachikachi-howto/</t>
  </si>
  <si>
    <t>▼機種一覧はこちらから▼</t>
    <rPh sb="1" eb="3">
      <t>キシュ</t>
    </rPh>
    <rPh sb="3" eb="5">
      <t>イチラン</t>
    </rPh>
    <phoneticPr fontId="1"/>
  </si>
  <si>
    <t>http://tkysmoney.com/pachikachi-list/</t>
    <phoneticPr fontId="1"/>
  </si>
  <si>
    <t>【注意事項】</t>
    <rPh sb="1" eb="3">
      <t>チュウイ</t>
    </rPh>
    <rPh sb="3" eb="5">
      <t>ジコウ</t>
    </rPh>
    <phoneticPr fontId="1"/>
  </si>
  <si>
    <t>●</t>
    <phoneticPr fontId="1"/>
  </si>
  <si>
    <t>当ツールは一定期間で内部データが破損する仕様となっております。</t>
    <rPh sb="0" eb="1">
      <t>トウ</t>
    </rPh>
    <phoneticPr fontId="1"/>
  </si>
  <si>
    <t>お手数ですが、ご利用毎に「機種一覧」よりご希望の機種をダウンロードして下さい。</t>
  </si>
  <si>
    <t>当ツールは必ず勝てることを保証するものではありません。</t>
    <rPh sb="0" eb="1">
      <t>トウ</t>
    </rPh>
    <rPh sb="5" eb="6">
      <t>カナラ</t>
    </rPh>
    <rPh sb="7" eb="8">
      <t>カ</t>
    </rPh>
    <rPh sb="13" eb="15">
      <t>ホショウ</t>
    </rPh>
    <phoneticPr fontId="1"/>
  </si>
  <si>
    <t>該当の台が理論上、どの程度の収支になるかを計算するツールです。</t>
    <rPh sb="0" eb="2">
      <t>ガイトウ</t>
    </rPh>
    <rPh sb="3" eb="4">
      <t>ダイ</t>
    </rPh>
    <rPh sb="5" eb="7">
      <t>リロン</t>
    </rPh>
    <rPh sb="7" eb="8">
      <t>ジョウ</t>
    </rPh>
    <rPh sb="11" eb="13">
      <t>テイド</t>
    </rPh>
    <rPh sb="14" eb="16">
      <t>シュウシ</t>
    </rPh>
    <rPh sb="21" eb="23">
      <t>ケイサン</t>
    </rPh>
    <phoneticPr fontId="1"/>
  </si>
  <si>
    <t>台データを残しておきたい場合、他のアプリ等に結果を残しておいて下さい。</t>
    <rPh sb="0" eb="1">
      <t>ダイ</t>
    </rPh>
    <rPh sb="5" eb="6">
      <t>ノコ</t>
    </rPh>
    <rPh sb="12" eb="14">
      <t>バアイ</t>
    </rPh>
    <rPh sb="15" eb="16">
      <t>ホカ</t>
    </rPh>
    <rPh sb="20" eb="21">
      <t>トウ</t>
    </rPh>
    <rPh sb="22" eb="24">
      <t>ケッカ</t>
    </rPh>
    <rPh sb="25" eb="26">
      <t>ノコ</t>
    </rPh>
    <rPh sb="31" eb="32">
      <t>クダ</t>
    </rPh>
    <phoneticPr fontId="1"/>
  </si>
  <si>
    <r>
      <t xml:space="preserve">Copyright © 2019 </t>
    </r>
    <r>
      <rPr>
        <sz val="12"/>
        <color rgb="FF727272"/>
        <rFont val="Yu Gothic"/>
        <family val="2"/>
        <charset val="128"/>
      </rPr>
      <t>トラストスタック</t>
    </r>
    <r>
      <rPr>
        <sz val="12"/>
        <color rgb="FF727272"/>
        <rFont val="Open Sans"/>
        <family val="2"/>
      </rPr>
      <t xml:space="preserve"> All Rights Reserved.</t>
    </r>
    <phoneticPr fontId="1"/>
  </si>
  <si>
    <t>MEMO</t>
    <phoneticPr fontId="1"/>
  </si>
  <si>
    <t>https://tkysmoney.com/pachikachi-list/</t>
    <phoneticPr fontId="1"/>
  </si>
  <si>
    <t>当ツール「ぱちかち君」は、
一定期間でデータが破損する仕様です。
次回ご利用時は、上記URLからDLお願いします。</t>
    <rPh sb="34" eb="36">
      <t>ジカイ</t>
    </rPh>
    <rPh sb="37" eb="39">
      <t>リヨウ</t>
    </rPh>
    <rPh sb="39" eb="40">
      <t>ジ</t>
    </rPh>
    <rPh sb="42" eb="44">
      <t>ジョウキ</t>
    </rPh>
    <rPh sb="52" eb="5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</si>
</sst>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¥-411]#,##0;[$¥-411]#,##0"/>
    <numFmt numFmtId="177" formatCode="0.00_);[Red]\(0.00\)"/>
    <numFmt numFmtId="178" formatCode="0.0000"/>
    <numFmt numFmtId="179" formatCode="0.000_);[Red]\(0.000\)"/>
    <numFmt numFmtId="180" formatCode="0.00_ ;[Red]\-0.00\ "/>
    <numFmt numFmtId="181" formatCode="0.00_ 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30"/>
      <color theme="1"/>
      <name val="游ゴシック"/>
      <family val="3"/>
      <charset val="128"/>
      <scheme val="minor"/>
    </font>
    <font>
      <sz val="30"/>
      <color theme="1"/>
      <name val="游ゴシック"/>
      <family val="3"/>
      <charset val="128"/>
      <scheme val="minor"/>
    </font>
    <font>
      <sz val="30"/>
      <color rgb="FFFF0000"/>
      <name val="游ゴシック"/>
      <family val="3"/>
      <charset val="128"/>
      <scheme val="minor"/>
    </font>
    <font>
      <sz val="3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30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rgb="FF727272"/>
      <name val="Open Sans"/>
      <family val="2"/>
    </font>
    <font>
      <sz val="12"/>
      <color rgb="FF727272"/>
      <name val="Yu Gothic"/>
      <family val="2"/>
      <charset val="128"/>
    </font>
    <font>
      <u/>
      <sz val="30"/>
      <color theme="10"/>
      <name val="游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14" borderId="0" xfId="0" applyFont="1" applyFill="1">
      <alignment vertical="center"/>
    </xf>
    <xf numFmtId="0" fontId="4" fillId="14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14" borderId="0" xfId="0" applyFont="1" applyFill="1">
      <alignment vertical="center"/>
    </xf>
    <xf numFmtId="0" fontId="4" fillId="14" borderId="0" xfId="0" applyFont="1" applyFill="1" applyProtection="1">
      <alignment vertical="center"/>
    </xf>
    <xf numFmtId="2" fontId="4" fillId="14" borderId="0" xfId="0" applyNumberFormat="1" applyFont="1" applyFill="1" applyProtection="1">
      <alignment vertical="center"/>
    </xf>
    <xf numFmtId="38" fontId="4" fillId="14" borderId="0" xfId="2" applyNumberFormat="1" applyFont="1" applyFill="1" applyProtection="1">
      <alignment vertical="center"/>
    </xf>
    <xf numFmtId="38" fontId="4" fillId="14" borderId="0" xfId="2" applyNumberFormat="1" applyFont="1" applyFill="1" applyAlignment="1" applyProtection="1">
      <alignment vertical="center" wrapText="1"/>
    </xf>
    <xf numFmtId="10" fontId="4" fillId="14" borderId="0" xfId="1" applyNumberFormat="1" applyFont="1" applyFill="1" applyAlignment="1" applyProtection="1">
      <alignment vertical="center" wrapText="1"/>
    </xf>
    <xf numFmtId="0" fontId="4" fillId="15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15" borderId="0" xfId="0" applyFont="1" applyFill="1" applyProtection="1">
      <alignment vertical="center"/>
    </xf>
    <xf numFmtId="0" fontId="4" fillId="15" borderId="1" xfId="0" applyFont="1" applyFill="1" applyBorder="1" applyAlignment="1" applyProtection="1">
      <alignment vertical="center"/>
      <protection locked="0"/>
    </xf>
    <xf numFmtId="0" fontId="4" fillId="15" borderId="1" xfId="0" applyFont="1" applyFill="1" applyBorder="1" applyProtection="1">
      <alignment vertical="center"/>
      <protection locked="0"/>
    </xf>
    <xf numFmtId="0" fontId="4" fillId="15" borderId="0" xfId="0" applyFont="1" applyFill="1" applyAlignment="1" applyProtection="1">
      <alignment horizontal="left" vertical="center"/>
      <protection locked="0"/>
    </xf>
    <xf numFmtId="0" fontId="6" fillId="15" borderId="0" xfId="0" applyFont="1" applyFill="1" applyProtection="1">
      <alignment vertical="center"/>
      <protection locked="0"/>
    </xf>
    <xf numFmtId="0" fontId="4" fillId="7" borderId="0" xfId="0" applyNumberFormat="1" applyFont="1" applyFill="1" applyProtection="1">
      <alignment vertical="center"/>
      <protection locked="0"/>
    </xf>
    <xf numFmtId="0" fontId="8" fillId="15" borderId="0" xfId="0" applyFont="1" applyFill="1" applyProtection="1">
      <alignment vertical="center"/>
      <protection locked="0"/>
    </xf>
    <xf numFmtId="0" fontId="7" fillId="4" borderId="4" xfId="0" applyFont="1" applyFill="1" applyBorder="1" applyAlignment="1" applyProtection="1">
      <alignment horizontal="left" vertical="top" wrapText="1"/>
    </xf>
    <xf numFmtId="9" fontId="4" fillId="3" borderId="1" xfId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Protection="1">
      <alignment vertical="center"/>
    </xf>
    <xf numFmtId="38" fontId="4" fillId="5" borderId="1" xfId="0" applyNumberFormat="1" applyFont="1" applyFill="1" applyBorder="1" applyProtection="1">
      <alignment vertical="center"/>
    </xf>
    <xf numFmtId="2" fontId="4" fillId="9" borderId="0" xfId="0" applyNumberFormat="1" applyFont="1" applyFill="1" applyProtection="1">
      <alignment vertical="center"/>
    </xf>
    <xf numFmtId="38" fontId="4" fillId="9" borderId="0" xfId="3" applyFont="1" applyFill="1" applyProtection="1">
      <alignment vertical="center"/>
    </xf>
    <xf numFmtId="0" fontId="4" fillId="9" borderId="0" xfId="0" applyFont="1" applyFill="1" applyProtection="1">
      <alignment vertical="center"/>
    </xf>
    <xf numFmtId="10" fontId="4" fillId="9" borderId="0" xfId="1" applyNumberFormat="1" applyFont="1" applyFill="1" applyProtection="1">
      <alignment vertical="center"/>
    </xf>
    <xf numFmtId="0" fontId="4" fillId="9" borderId="0" xfId="0" applyNumberFormat="1" applyFont="1" applyFill="1" applyProtection="1">
      <alignment vertical="center"/>
    </xf>
    <xf numFmtId="6" fontId="4" fillId="9" borderId="0" xfId="2" applyNumberFormat="1" applyFont="1" applyFill="1" applyProtection="1">
      <alignment vertical="center"/>
    </xf>
    <xf numFmtId="0" fontId="4" fillId="14" borderId="1" xfId="0" applyFont="1" applyFill="1" applyBorder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6" borderId="0" xfId="0" applyFont="1" applyFill="1" applyProtection="1">
      <alignment vertical="center"/>
    </xf>
    <xf numFmtId="0" fontId="4" fillId="0" borderId="0" xfId="0" applyFont="1" applyAlignment="1" applyProtection="1">
      <alignment horizontal="left" vertical="top"/>
    </xf>
    <xf numFmtId="9" fontId="4" fillId="0" borderId="0" xfId="1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18" borderId="0" xfId="0" applyFont="1" applyFill="1" applyProtection="1">
      <alignment vertical="center"/>
    </xf>
    <xf numFmtId="2" fontId="4" fillId="18" borderId="0" xfId="0" applyNumberFormat="1" applyFont="1" applyFill="1" applyProtection="1">
      <alignment vertical="center"/>
    </xf>
    <xf numFmtId="0" fontId="4" fillId="18" borderId="0" xfId="0" applyFont="1" applyFill="1" applyAlignment="1" applyProtection="1">
      <alignment vertical="center" wrapText="1"/>
    </xf>
    <xf numFmtId="2" fontId="4" fillId="18" borderId="0" xfId="0" applyNumberFormat="1" applyFont="1" applyFill="1" applyAlignment="1" applyProtection="1">
      <alignment vertical="center" wrapText="1"/>
    </xf>
    <xf numFmtId="0" fontId="4" fillId="11" borderId="1" xfId="0" applyFont="1" applyFill="1" applyBorder="1" applyProtection="1">
      <alignment vertical="center"/>
    </xf>
    <xf numFmtId="0" fontId="3" fillId="7" borderId="1" xfId="0" applyFont="1" applyFill="1" applyBorder="1" applyProtection="1">
      <alignment vertical="center"/>
    </xf>
    <xf numFmtId="9" fontId="3" fillId="7" borderId="1" xfId="0" applyNumberFormat="1" applyFont="1" applyFill="1" applyBorder="1" applyProtection="1">
      <alignment vertical="center"/>
    </xf>
    <xf numFmtId="0" fontId="5" fillId="11" borderId="8" xfId="0" applyFont="1" applyFill="1" applyBorder="1" applyProtection="1">
      <alignment vertical="center"/>
    </xf>
    <xf numFmtId="9" fontId="5" fillId="11" borderId="8" xfId="1" applyFont="1" applyFill="1" applyBorder="1" applyProtection="1">
      <alignment vertical="center"/>
    </xf>
    <xf numFmtId="0" fontId="5" fillId="11" borderId="1" xfId="0" applyFont="1" applyFill="1" applyBorder="1" applyProtection="1">
      <alignment vertical="center"/>
    </xf>
    <xf numFmtId="9" fontId="5" fillId="11" borderId="1" xfId="1" applyFont="1" applyFill="1" applyBorder="1" applyProtection="1">
      <alignment vertical="center"/>
    </xf>
    <xf numFmtId="0" fontId="4" fillId="10" borderId="1" xfId="0" applyFont="1" applyFill="1" applyBorder="1" applyProtection="1">
      <alignment vertical="center"/>
    </xf>
    <xf numFmtId="0" fontId="4" fillId="10" borderId="7" xfId="0" applyFont="1" applyFill="1" applyBorder="1" applyProtection="1">
      <alignment vertical="center"/>
    </xf>
    <xf numFmtId="0" fontId="5" fillId="11" borderId="9" xfId="0" applyFont="1" applyFill="1" applyBorder="1" applyProtection="1">
      <alignment vertical="center"/>
    </xf>
    <xf numFmtId="0" fontId="5" fillId="11" borderId="5" xfId="0" applyFont="1" applyFill="1" applyBorder="1" applyProtection="1">
      <alignment vertical="center"/>
    </xf>
    <xf numFmtId="9" fontId="5" fillId="11" borderId="5" xfId="1" applyFont="1" applyFill="1" applyBorder="1" applyProtection="1">
      <alignment vertical="center"/>
    </xf>
    <xf numFmtId="0" fontId="5" fillId="11" borderId="6" xfId="0" applyFont="1" applyFill="1" applyBorder="1" applyProtection="1">
      <alignment vertical="center"/>
    </xf>
    <xf numFmtId="9" fontId="5" fillId="11" borderId="10" xfId="1" applyFont="1" applyFill="1" applyBorder="1" applyProtection="1">
      <alignment vertical="center"/>
    </xf>
    <xf numFmtId="0" fontId="4" fillId="11" borderId="8" xfId="0" applyFont="1" applyFill="1" applyBorder="1" applyProtection="1">
      <alignment vertical="center"/>
    </xf>
    <xf numFmtId="9" fontId="4" fillId="11" borderId="11" xfId="1" applyFont="1" applyFill="1" applyBorder="1" applyProtection="1">
      <alignment vertical="center"/>
    </xf>
    <xf numFmtId="179" fontId="4" fillId="10" borderId="7" xfId="0" applyNumberFormat="1" applyFont="1" applyFill="1" applyBorder="1" applyProtection="1">
      <alignment vertical="center"/>
    </xf>
    <xf numFmtId="9" fontId="4" fillId="11" borderId="1" xfId="1" applyFont="1" applyFill="1" applyBorder="1" applyProtection="1">
      <alignment vertical="center"/>
    </xf>
    <xf numFmtId="0" fontId="5" fillId="11" borderId="13" xfId="0" applyFont="1" applyFill="1" applyBorder="1" applyProtection="1">
      <alignment vertical="center"/>
    </xf>
    <xf numFmtId="9" fontId="5" fillId="11" borderId="14" xfId="1" applyFont="1" applyFill="1" applyBorder="1" applyProtection="1">
      <alignment vertical="center"/>
    </xf>
    <xf numFmtId="179" fontId="4" fillId="10" borderId="1" xfId="0" applyNumberFormat="1" applyFont="1" applyFill="1" applyBorder="1" applyProtection="1">
      <alignment vertical="center"/>
    </xf>
    <xf numFmtId="0" fontId="4" fillId="11" borderId="5" xfId="0" applyFont="1" applyFill="1" applyBorder="1" applyProtection="1">
      <alignment vertical="center"/>
    </xf>
    <xf numFmtId="9" fontId="4" fillId="11" borderId="12" xfId="1" applyFont="1" applyFill="1" applyBorder="1" applyProtection="1">
      <alignment vertical="center"/>
    </xf>
    <xf numFmtId="9" fontId="5" fillId="11" borderId="6" xfId="1" applyFont="1" applyFill="1" applyBorder="1" applyProtection="1">
      <alignment vertical="center"/>
    </xf>
    <xf numFmtId="9" fontId="4" fillId="11" borderId="5" xfId="1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13" borderId="1" xfId="0" applyFont="1" applyFill="1" applyBorder="1" applyAlignment="1" applyProtection="1">
      <alignment horizontal="center" vertical="center"/>
    </xf>
    <xf numFmtId="178" fontId="4" fillId="13" borderId="1" xfId="0" applyNumberFormat="1" applyFont="1" applyFill="1" applyBorder="1" applyProtection="1">
      <alignment vertical="center"/>
    </xf>
    <xf numFmtId="177" fontId="4" fillId="10" borderId="1" xfId="0" applyNumberFormat="1" applyFont="1" applyFill="1" applyBorder="1" applyProtection="1">
      <alignment vertical="center"/>
    </xf>
    <xf numFmtId="1" fontId="4" fillId="11" borderId="1" xfId="0" applyNumberFormat="1" applyFont="1" applyFill="1" applyBorder="1" applyProtection="1">
      <alignment vertical="center"/>
    </xf>
    <xf numFmtId="0" fontId="4" fillId="17" borderId="1" xfId="0" applyFont="1" applyFill="1" applyBorder="1" applyAlignment="1" applyProtection="1">
      <alignment horizontal="center" vertical="center"/>
    </xf>
    <xf numFmtId="0" fontId="4" fillId="16" borderId="1" xfId="0" applyFont="1" applyFill="1" applyBorder="1" applyProtection="1">
      <alignment vertical="center"/>
    </xf>
    <xf numFmtId="0" fontId="3" fillId="14" borderId="1" xfId="0" applyFont="1" applyFill="1" applyBorder="1" applyAlignment="1" applyProtection="1">
      <alignment horizontal="center" vertical="center"/>
    </xf>
    <xf numFmtId="10" fontId="4" fillId="10" borderId="7" xfId="1" applyNumberFormat="1" applyFont="1" applyFill="1" applyBorder="1" applyProtection="1">
      <alignment vertical="center"/>
    </xf>
    <xf numFmtId="10" fontId="4" fillId="10" borderId="1" xfId="1" applyNumberFormat="1" applyFont="1" applyFill="1" applyBorder="1" applyProtection="1">
      <alignment vertical="center"/>
    </xf>
    <xf numFmtId="181" fontId="4" fillId="9" borderId="0" xfId="0" applyNumberFormat="1" applyFont="1" applyFill="1" applyProtection="1">
      <alignment vertical="center"/>
    </xf>
    <xf numFmtId="180" fontId="4" fillId="9" borderId="0" xfId="0" applyNumberFormat="1" applyFont="1" applyFill="1" applyProtection="1">
      <alignment vertical="center"/>
    </xf>
    <xf numFmtId="180" fontId="4" fillId="14" borderId="0" xfId="1" applyNumberFormat="1" applyFont="1" applyFill="1" applyAlignment="1" applyProtection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5" fillId="0" borderId="0" xfId="4" applyFont="1" applyBorder="1" applyAlignment="1" applyProtection="1">
      <alignment vertical="top"/>
      <protection locked="0"/>
    </xf>
    <xf numFmtId="0" fontId="3" fillId="6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15" fillId="0" borderId="2" xfId="4" applyFont="1" applyBorder="1" applyAlignment="1" applyProtection="1">
      <alignment horizontal="left" vertical="top"/>
      <protection locked="0"/>
    </xf>
    <xf numFmtId="0" fontId="4" fillId="18" borderId="1" xfId="0" applyFont="1" applyFill="1" applyBorder="1" applyAlignment="1" applyProtection="1">
      <alignment horizontal="center" vertical="center"/>
    </xf>
    <xf numFmtId="0" fontId="3" fillId="14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center" vertical="center"/>
    </xf>
    <xf numFmtId="0" fontId="3" fillId="14" borderId="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</cellXfs>
  <cellStyles count="5">
    <cellStyle name="パーセント" xfId="1" builtinId="5"/>
    <cellStyle name="ハイパーリンク" xfId="4" builtinId="8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kysmoney.com/pachikachi-li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tkysmoney.com/?p=640" TargetMode="External"/><Relationship Id="rId1" Type="http://schemas.openxmlformats.org/officeDocument/2006/relationships/hyperlink" Target="http://tkysmoney.com/pachikachi-lis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640E-ACD5-4A09-A1D3-C35A3BBDF991}">
  <sheetPr codeName="Sheet1"/>
  <dimension ref="A1:U55"/>
  <sheetViews>
    <sheetView showGridLines="0" showRowColHeaders="0" topLeftCell="A4" zoomScale="40" zoomScaleNormal="40" workbookViewId="0">
      <selection activeCell="B10" sqref="B10"/>
    </sheetView>
  </sheetViews>
  <sheetFormatPr defaultColWidth="8.58203125" defaultRowHeight="48.5"/>
  <cols>
    <col min="1" max="1" width="29.33203125" style="12" bestFit="1" customWidth="1"/>
    <col min="2" max="2" width="23.25" style="12" bestFit="1" customWidth="1"/>
    <col min="3" max="3" width="25.1640625" style="12" bestFit="1" customWidth="1"/>
    <col min="4" max="4" width="23.25" style="12" bestFit="1" customWidth="1"/>
    <col min="5" max="6" width="8.58203125" style="12"/>
    <col min="7" max="7" width="13.58203125" style="12" bestFit="1" customWidth="1"/>
    <col min="8" max="9" width="7.08203125" style="12" customWidth="1"/>
    <col min="10" max="10" width="9.33203125" style="12" bestFit="1" customWidth="1"/>
    <col min="11" max="13" width="7.08203125" style="12" customWidth="1"/>
    <col min="14" max="18" width="8.58203125" style="12"/>
    <col min="19" max="19" width="6.33203125" style="12" bestFit="1" customWidth="1"/>
    <col min="20" max="20" width="8.58203125" style="12" customWidth="1"/>
    <col min="21" max="24" width="8.58203125" style="12"/>
    <col min="25" max="25" width="11.5" style="12" customWidth="1"/>
    <col min="26" max="16384" width="8.58203125" style="12"/>
  </cols>
  <sheetData>
    <row r="1" spans="1:14">
      <c r="A1" s="46" t="s">
        <v>0</v>
      </c>
      <c r="B1" s="47" t="e">
        <f>B8/((B14+B15+B16)+((MAX(サポ時!B12+サポ時!B10-通常時!B10-B19,0))/打始!B7))</f>
        <v>#DIV/0!</v>
      </c>
      <c r="C1" s="48" t="s">
        <v>65</v>
      </c>
      <c r="D1" s="49" t="e">
        <f>(スペック!D22*通常時!B6)+(スペック!C22*(1-通常時!B6))</f>
        <v>#DIV/0!</v>
      </c>
    </row>
    <row r="2" spans="1:14">
      <c r="L2" s="33"/>
    </row>
    <row r="3" spans="1:14">
      <c r="A3" s="6" t="s">
        <v>1</v>
      </c>
      <c r="B3" s="8" t="e">
        <f>((1000/打始!B7)*(B10+B19))-((B14+B15+B16)*1000)</f>
        <v>#DIV/0!</v>
      </c>
      <c r="J3" s="34"/>
      <c r="K3" s="35"/>
      <c r="L3" s="33"/>
    </row>
    <row r="4" spans="1:14">
      <c r="A4" s="6" t="s">
        <v>2</v>
      </c>
      <c r="B4" s="9" t="e">
        <f>(B8*B6*スペック!E22)+(B8*(1-B6)*スペック!F22)</f>
        <v>#DIV/0!</v>
      </c>
      <c r="J4" s="34"/>
      <c r="K4" s="35"/>
      <c r="L4" s="36"/>
      <c r="M4" s="36"/>
    </row>
    <row r="5" spans="1:14">
      <c r="A5" s="6" t="s">
        <v>40</v>
      </c>
      <c r="B5" s="87" t="e">
        <f>ROUNDDOWN(サポ時!B10/(B9-B8),2)&amp;"玉"</f>
        <v>#DIV/0!</v>
      </c>
      <c r="J5" s="35"/>
      <c r="K5" s="35"/>
      <c r="L5" s="37"/>
      <c r="M5" s="38"/>
    </row>
    <row r="6" spans="1:14">
      <c r="A6" s="6" t="s">
        <v>3</v>
      </c>
      <c r="B6" s="10" t="e">
        <f>(MAX((サポ時!B12+サポ時!B10-B10-B19),0)+B17+B18)/((MAX((サポ時!B12+サポ時!B10-B10-B19),0)+B17+B18)+(B16*打始!B8))</f>
        <v>#DIV/0!</v>
      </c>
      <c r="J6" s="35"/>
      <c r="K6" s="35"/>
      <c r="L6" s="39"/>
      <c r="M6" s="39"/>
    </row>
    <row r="7" spans="1:14">
      <c r="J7" s="35"/>
      <c r="K7" s="35"/>
    </row>
    <row r="8" spans="1:14">
      <c r="A8" s="6" t="s">
        <v>4</v>
      </c>
      <c r="B8" s="6">
        <f>通常時!B23-サポ時!B11-打始!B5</f>
        <v>0</v>
      </c>
      <c r="J8" s="35"/>
      <c r="K8" s="35"/>
    </row>
    <row r="9" spans="1:14">
      <c r="A9" s="6" t="s">
        <v>5</v>
      </c>
      <c r="B9" s="6">
        <f>B22-打始!B6</f>
        <v>0</v>
      </c>
      <c r="J9" s="35"/>
      <c r="K9" s="35"/>
    </row>
    <row r="10" spans="1:14">
      <c r="A10" s="13" t="s">
        <v>17</v>
      </c>
      <c r="B10" s="11"/>
    </row>
    <row r="11" spans="1:14">
      <c r="A11" s="6" t="s">
        <v>19</v>
      </c>
      <c r="B11" s="7" t="e">
        <f>サポ時!B12/通常時!B12</f>
        <v>#DIV/0!</v>
      </c>
    </row>
    <row r="12" spans="1:14" ht="49" customHeight="1">
      <c r="A12" s="6" t="s">
        <v>18</v>
      </c>
      <c r="B12" s="6">
        <f>(LOOKUP(10^17,LEFT(サポ時!A2,COLUMN(1:1))*1)*サポ時!A3)+(LOOKUP(10^17,LEFT(サポ時!B2,COLUMN(1:1))*1)*サポ時!B3)+(LOOKUP(10^17,LEFT(サポ時!C2,COLUMN(1:1))*1)*サポ時!C3)+(LOOKUP(10^17,LEFT(サポ時!D2,COLUMN(1:1))*1)*サポ時!D3)+(LOOKUP(10^17,LEFT(サポ時!E2,COLUMN(1:1))*1)*サポ時!E3)+(LOOKUP(10^17,LEFT(サポ時!A5,COLUMN(1:1))*1)*サポ時!A6)+(LOOKUP(10^17,LEFT(サポ時!B5,COLUMN(1:1))*1)*サポ時!B6)+(LOOKUP(10^17,LEFT(サポ時!C5,COLUMN(1:1))*1)*サポ時!C6)+(LOOKUP(10^17,LEFT(サポ時!D5,COLUMN(1:1))*1)*サポ時!D6)+(LOOKUP(10^17,LEFT(サポ時!E5,COLUMN(1:1))*1)*サポ時!E6)</f>
        <v>0</v>
      </c>
      <c r="M12" s="40"/>
      <c r="N12" s="40"/>
    </row>
    <row r="13" spans="1:14" ht="49" hidden="1" customHeight="1">
      <c r="A13" s="94" t="s">
        <v>22</v>
      </c>
      <c r="B13" s="94"/>
      <c r="M13" s="40"/>
      <c r="N13" s="40"/>
    </row>
    <row r="14" spans="1:14" ht="49" hidden="1" customHeight="1">
      <c r="A14" s="41" t="s">
        <v>6</v>
      </c>
      <c r="B14" s="41" t="e">
        <f>B17/打始!B7</f>
        <v>#DIV/0!</v>
      </c>
    </row>
    <row r="15" spans="1:14" ht="49" hidden="1" customHeight="1">
      <c r="A15" s="41" t="s">
        <v>7</v>
      </c>
      <c r="B15" s="41" t="e">
        <f>B18/打始!B7</f>
        <v>#DIV/0!</v>
      </c>
    </row>
    <row r="16" spans="1:14" ht="49" hidden="1" customHeight="1">
      <c r="A16" s="41" t="s">
        <v>9</v>
      </c>
      <c r="B16" s="41">
        <f>B20/1000</f>
        <v>0</v>
      </c>
    </row>
    <row r="17" spans="1:21" ht="49" customHeight="1">
      <c r="A17" s="13" t="s">
        <v>62</v>
      </c>
      <c r="B17" s="11"/>
      <c r="R17" s="40"/>
      <c r="S17" s="40"/>
      <c r="T17" s="40"/>
      <c r="U17" s="40"/>
    </row>
    <row r="18" spans="1:21">
      <c r="A18" s="13" t="s">
        <v>7</v>
      </c>
      <c r="B18" s="11"/>
      <c r="D18" s="42"/>
      <c r="R18" s="40"/>
      <c r="S18" s="43"/>
      <c r="T18" s="40"/>
      <c r="U18" s="43"/>
    </row>
    <row r="19" spans="1:21">
      <c r="A19" s="13" t="s">
        <v>8</v>
      </c>
      <c r="B19" s="11"/>
      <c r="R19" s="40"/>
      <c r="S19" s="43"/>
      <c r="T19" s="40"/>
      <c r="U19" s="43"/>
    </row>
    <row r="20" spans="1:21">
      <c r="A20" s="13" t="s">
        <v>9</v>
      </c>
      <c r="B20" s="11"/>
      <c r="R20" s="40"/>
      <c r="S20" s="43"/>
      <c r="T20" s="40"/>
      <c r="U20" s="43"/>
    </row>
    <row r="21" spans="1:21">
      <c r="A21" s="35"/>
      <c r="E21" s="44"/>
      <c r="F21" s="44"/>
      <c r="G21" s="44"/>
      <c r="H21" s="44"/>
      <c r="I21" s="44"/>
      <c r="R21" s="40"/>
      <c r="S21" s="43"/>
      <c r="T21" s="40"/>
      <c r="U21" s="43"/>
    </row>
    <row r="22" spans="1:21" ht="48.65" customHeight="1">
      <c r="A22" s="13" t="s">
        <v>5</v>
      </c>
      <c r="B22" s="11"/>
      <c r="E22" s="45"/>
      <c r="F22" s="45"/>
      <c r="G22" s="45"/>
      <c r="H22" s="45"/>
      <c r="I22" s="45"/>
      <c r="K22" s="42"/>
      <c r="R22" s="40"/>
      <c r="S22" s="43"/>
      <c r="T22" s="40"/>
      <c r="U22" s="43"/>
    </row>
    <row r="23" spans="1:21">
      <c r="A23" s="13" t="s">
        <v>80</v>
      </c>
      <c r="B23" s="19"/>
      <c r="C23" s="45"/>
      <c r="D23" s="45"/>
      <c r="E23" s="45"/>
      <c r="F23" s="45"/>
      <c r="G23" s="45"/>
      <c r="H23" s="45"/>
      <c r="I23" s="45"/>
      <c r="R23" s="40"/>
      <c r="S23" s="43"/>
      <c r="T23" s="40"/>
      <c r="U23" s="43"/>
    </row>
    <row r="24" spans="1:21" ht="49" customHeight="1">
      <c r="A24" s="91" t="s">
        <v>99</v>
      </c>
      <c r="B24" s="96" t="s">
        <v>100</v>
      </c>
      <c r="C24" s="96"/>
      <c r="D24" s="96"/>
      <c r="E24" s="93"/>
      <c r="F24" s="93"/>
      <c r="G24" s="45"/>
      <c r="H24" s="45"/>
      <c r="I24" s="45"/>
      <c r="R24" s="40"/>
      <c r="S24" s="43"/>
      <c r="T24" s="40"/>
      <c r="U24" s="43"/>
    </row>
    <row r="25" spans="1:21" ht="48.5" customHeight="1">
      <c r="A25" s="95" t="s">
        <v>101</v>
      </c>
      <c r="B25" s="95"/>
      <c r="C25" s="95"/>
      <c r="D25" s="95"/>
      <c r="E25" s="92"/>
      <c r="F25" s="92"/>
      <c r="G25" s="45"/>
      <c r="H25" s="45"/>
      <c r="I25" s="45"/>
      <c r="R25" s="40"/>
      <c r="S25" s="43"/>
      <c r="T25" s="40"/>
      <c r="U25" s="43"/>
    </row>
    <row r="26" spans="1:21">
      <c r="A26" s="95"/>
      <c r="B26" s="95"/>
      <c r="C26" s="95"/>
      <c r="D26" s="95"/>
      <c r="E26" s="92"/>
      <c r="F26" s="92"/>
      <c r="G26" s="45"/>
      <c r="H26" s="45"/>
      <c r="I26" s="45"/>
      <c r="R26" s="40"/>
      <c r="S26" s="43"/>
      <c r="T26" s="40"/>
      <c r="U26" s="43"/>
    </row>
    <row r="27" spans="1:21">
      <c r="A27" s="95"/>
      <c r="B27" s="95"/>
      <c r="C27" s="95"/>
      <c r="D27" s="95"/>
      <c r="E27" s="92"/>
      <c r="F27" s="92"/>
      <c r="G27" s="45"/>
      <c r="H27" s="45"/>
      <c r="I27" s="45"/>
      <c r="R27" s="40"/>
      <c r="S27" s="43"/>
      <c r="T27" s="40"/>
      <c r="U27" s="43"/>
    </row>
    <row r="28" spans="1:21">
      <c r="A28" s="95"/>
      <c r="B28" s="95"/>
      <c r="C28" s="95"/>
      <c r="D28" s="95"/>
      <c r="E28" s="92"/>
      <c r="F28" s="92"/>
      <c r="G28" s="45"/>
      <c r="H28" s="45"/>
      <c r="I28" s="45"/>
      <c r="R28" s="40"/>
      <c r="S28" s="43"/>
      <c r="T28" s="40"/>
      <c r="U28" s="43"/>
    </row>
    <row r="29" spans="1:21">
      <c r="A29" s="95"/>
      <c r="B29" s="95"/>
      <c r="C29" s="95"/>
      <c r="D29" s="95"/>
      <c r="E29" s="92"/>
      <c r="F29" s="92"/>
      <c r="G29" s="45"/>
      <c r="H29" s="45"/>
      <c r="I29" s="45"/>
      <c r="R29" s="40"/>
      <c r="S29" s="43"/>
      <c r="T29" s="40"/>
      <c r="U29" s="43"/>
    </row>
    <row r="30" spans="1:21">
      <c r="A30" s="95"/>
      <c r="B30" s="95"/>
      <c r="C30" s="95"/>
      <c r="D30" s="95"/>
      <c r="E30" s="92"/>
      <c r="F30" s="92"/>
      <c r="G30" s="45"/>
      <c r="H30" s="45"/>
      <c r="I30" s="45"/>
    </row>
    <row r="31" spans="1:21">
      <c r="A31" s="95"/>
      <c r="B31" s="95"/>
      <c r="C31" s="95"/>
      <c r="D31" s="95"/>
      <c r="E31" s="92"/>
      <c r="F31" s="92"/>
      <c r="G31" s="45"/>
      <c r="H31" s="45"/>
      <c r="I31" s="45"/>
    </row>
    <row r="32" spans="1:21">
      <c r="A32" s="95"/>
      <c r="B32" s="95"/>
      <c r="C32" s="95"/>
      <c r="D32" s="95"/>
      <c r="E32" s="92"/>
      <c r="F32" s="92"/>
      <c r="G32" s="45"/>
      <c r="H32" s="45"/>
      <c r="I32" s="45"/>
    </row>
    <row r="33" spans="1:9">
      <c r="A33" s="95"/>
      <c r="B33" s="95"/>
      <c r="C33" s="95"/>
      <c r="D33" s="95"/>
      <c r="E33" s="92"/>
      <c r="F33" s="92"/>
      <c r="G33" s="45"/>
      <c r="H33" s="45"/>
      <c r="I33" s="45"/>
    </row>
    <row r="34" spans="1:9">
      <c r="A34" s="95"/>
      <c r="B34" s="95"/>
      <c r="C34" s="95"/>
      <c r="D34" s="95"/>
      <c r="E34" s="92"/>
      <c r="F34" s="92"/>
      <c r="G34" s="45"/>
      <c r="H34" s="45"/>
      <c r="I34" s="45"/>
    </row>
    <row r="35" spans="1:9">
      <c r="A35" s="95"/>
      <c r="B35" s="95"/>
      <c r="C35" s="95"/>
      <c r="D35" s="95"/>
      <c r="E35" s="92"/>
      <c r="F35" s="92"/>
      <c r="G35" s="45"/>
      <c r="H35" s="45"/>
      <c r="I35" s="45"/>
    </row>
    <row r="36" spans="1:9">
      <c r="A36" s="95"/>
      <c r="B36" s="95"/>
      <c r="C36" s="95"/>
      <c r="D36" s="95"/>
      <c r="E36" s="92"/>
      <c r="F36" s="92"/>
      <c r="G36" s="45"/>
      <c r="H36" s="45"/>
      <c r="I36" s="45"/>
    </row>
    <row r="37" spans="1:9">
      <c r="A37" s="95"/>
      <c r="B37" s="95"/>
      <c r="C37" s="95"/>
      <c r="D37" s="95"/>
      <c r="E37" s="92"/>
      <c r="F37" s="92"/>
      <c r="G37" s="45"/>
      <c r="H37" s="45"/>
      <c r="I37" s="45"/>
    </row>
    <row r="38" spans="1:9">
      <c r="A38" s="95"/>
      <c r="B38" s="95"/>
      <c r="C38" s="95"/>
      <c r="D38" s="95"/>
      <c r="E38" s="92"/>
      <c r="F38" s="92"/>
      <c r="G38" s="45"/>
      <c r="H38" s="45"/>
      <c r="I38" s="45"/>
    </row>
    <row r="39" spans="1:9">
      <c r="A39" s="45"/>
      <c r="B39" s="45"/>
      <c r="C39" s="45"/>
      <c r="D39" s="45"/>
      <c r="E39" s="45"/>
      <c r="F39" s="45"/>
      <c r="G39" s="45"/>
      <c r="H39" s="45"/>
      <c r="I39" s="45"/>
    </row>
    <row r="40" spans="1:9">
      <c r="A40" s="45"/>
      <c r="B40" s="45"/>
      <c r="C40" s="45"/>
      <c r="D40" s="45"/>
      <c r="E40" s="45"/>
      <c r="F40" s="45"/>
      <c r="G40" s="45"/>
      <c r="H40" s="45"/>
      <c r="I40" s="45"/>
    </row>
    <row r="41" spans="1:9">
      <c r="A41" s="45"/>
      <c r="B41" s="45"/>
      <c r="C41" s="45"/>
      <c r="D41" s="45"/>
      <c r="E41" s="45"/>
      <c r="F41" s="45"/>
      <c r="G41" s="45"/>
      <c r="H41" s="45"/>
      <c r="I41" s="45"/>
    </row>
    <row r="42" spans="1:9">
      <c r="A42" s="45"/>
      <c r="B42" s="45"/>
      <c r="C42" s="45"/>
      <c r="D42" s="45"/>
      <c r="E42" s="45"/>
      <c r="F42" s="45"/>
      <c r="G42" s="45"/>
      <c r="H42" s="45"/>
      <c r="I42" s="45"/>
    </row>
    <row r="43" spans="1:9">
      <c r="A43" s="45"/>
      <c r="B43" s="45"/>
      <c r="C43" s="45"/>
      <c r="D43" s="45"/>
      <c r="E43" s="45"/>
      <c r="F43" s="45"/>
      <c r="G43" s="45"/>
      <c r="H43" s="45"/>
      <c r="I43" s="45"/>
    </row>
    <row r="44" spans="1:9">
      <c r="A44" s="45"/>
      <c r="B44" s="45"/>
      <c r="C44" s="45"/>
      <c r="D44" s="45"/>
      <c r="E44" s="45"/>
      <c r="F44" s="45"/>
      <c r="G44" s="45"/>
      <c r="H44" s="45"/>
      <c r="I44" s="45"/>
    </row>
    <row r="45" spans="1:9">
      <c r="A45" s="45"/>
      <c r="B45" s="45"/>
      <c r="C45" s="45"/>
      <c r="D45" s="45"/>
      <c r="E45" s="45"/>
      <c r="F45" s="45"/>
      <c r="G45" s="45"/>
      <c r="H45" s="45"/>
      <c r="I45" s="45"/>
    </row>
    <row r="46" spans="1:9">
      <c r="A46" s="45"/>
      <c r="B46" s="45"/>
      <c r="C46" s="45"/>
      <c r="D46" s="45"/>
      <c r="E46" s="45"/>
      <c r="F46" s="45"/>
      <c r="G46" s="45"/>
      <c r="H46" s="45"/>
      <c r="I46" s="45"/>
    </row>
    <row r="47" spans="1:9">
      <c r="A47" s="45"/>
      <c r="B47" s="45"/>
      <c r="C47" s="45"/>
      <c r="D47" s="45"/>
      <c r="E47" s="45"/>
      <c r="F47" s="45"/>
      <c r="G47" s="45"/>
      <c r="H47" s="45"/>
      <c r="I47" s="45"/>
    </row>
    <row r="48" spans="1:9">
      <c r="A48" s="45"/>
      <c r="B48" s="45"/>
      <c r="C48" s="45"/>
      <c r="D48" s="45"/>
      <c r="E48" s="45"/>
      <c r="F48" s="45"/>
      <c r="G48" s="45"/>
      <c r="H48" s="45"/>
      <c r="I48" s="45"/>
    </row>
    <row r="49" spans="1:9">
      <c r="A49" s="45"/>
      <c r="B49" s="45"/>
      <c r="C49" s="45"/>
      <c r="D49" s="45"/>
      <c r="E49" s="45"/>
      <c r="F49" s="45"/>
      <c r="G49" s="45"/>
      <c r="H49" s="45"/>
      <c r="I49" s="45"/>
    </row>
    <row r="50" spans="1:9">
      <c r="A50" s="45"/>
      <c r="B50" s="45"/>
      <c r="C50" s="45"/>
      <c r="D50" s="45"/>
      <c r="E50" s="45"/>
      <c r="F50" s="45"/>
      <c r="G50" s="45"/>
      <c r="H50" s="45"/>
      <c r="I50" s="45"/>
    </row>
    <row r="51" spans="1:9">
      <c r="A51" s="45"/>
      <c r="B51" s="45"/>
      <c r="C51" s="45"/>
      <c r="D51" s="45"/>
      <c r="E51" s="45"/>
      <c r="F51" s="45"/>
      <c r="G51" s="45"/>
      <c r="H51" s="45"/>
      <c r="I51" s="45"/>
    </row>
    <row r="52" spans="1:9">
      <c r="A52" s="45"/>
      <c r="B52" s="45"/>
      <c r="C52" s="45"/>
      <c r="D52" s="45"/>
      <c r="E52" s="45"/>
      <c r="F52" s="45"/>
      <c r="G52" s="45"/>
      <c r="H52" s="45"/>
      <c r="I52" s="45"/>
    </row>
    <row r="53" spans="1:9">
      <c r="A53" s="45"/>
      <c r="B53" s="45"/>
      <c r="C53" s="45"/>
      <c r="D53" s="45"/>
      <c r="E53" s="45"/>
      <c r="F53" s="45"/>
      <c r="G53" s="45"/>
      <c r="H53" s="45"/>
      <c r="I53" s="45"/>
    </row>
    <row r="54" spans="1:9">
      <c r="A54" s="45"/>
      <c r="B54" s="45"/>
      <c r="C54" s="45"/>
      <c r="D54" s="45"/>
      <c r="E54" s="45"/>
      <c r="F54" s="45"/>
      <c r="G54" s="45"/>
      <c r="H54" s="45"/>
      <c r="I54" s="45"/>
    </row>
    <row r="55" spans="1:9">
      <c r="A55" s="45"/>
      <c r="B55" s="45"/>
      <c r="C55" s="45"/>
      <c r="D55" s="45"/>
      <c r="E55" s="45"/>
      <c r="F55" s="45"/>
      <c r="G55" s="45"/>
      <c r="H55" s="45"/>
      <c r="I55" s="45"/>
    </row>
  </sheetData>
  <sheetProtection algorithmName="SHA-512" hashValue="/H2B9jucMMDtwR9yUIVgGYPZMlIpXWVvdiviMp3CuucpR0R00bBnPYGeTWqNFWTxag09vfhfJ/0F2gAfjEXtcQ==" saltValue="dv5ZKQnJsgnKe0aWtgwQiw==" spinCount="100000" sheet="1" selectLockedCells="1"/>
  <protectedRanges>
    <protectedRange algorithmName="SHA-512" hashValue="fFbToBBL927nN2dp56NXH6axvu0KbbDSepKzqepAKMOETKsQImckLAGiNUunFmSAkFxWeH3rbhyDlupw5EaiBA==" saltValue="YXZya6dGT9nvYlS9ofaHmw==" spinCount="100000" sqref="A11:B12 A3:B6 A8:B9 A1:D1" name="範囲1"/>
  </protectedRanges>
  <mergeCells count="3">
    <mergeCell ref="A13:B13"/>
    <mergeCell ref="A25:D38"/>
    <mergeCell ref="B24:D24"/>
  </mergeCells>
  <phoneticPr fontId="1"/>
  <hyperlinks>
    <hyperlink ref="B24" r:id="rId1" xr:uid="{ECFA66D1-9539-4A96-8C7B-5830FBB33870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582E-F11D-4A6A-9D79-A1A74D739C7B}">
  <dimension ref="A1:E12"/>
  <sheetViews>
    <sheetView showGridLines="0" showRowColHeaders="0" zoomScale="40" zoomScaleNormal="40" workbookViewId="0">
      <selection activeCell="A3" sqref="A3:A4"/>
    </sheetView>
  </sheetViews>
  <sheetFormatPr defaultColWidth="8.9140625" defaultRowHeight="48.5"/>
  <cols>
    <col min="1" max="5" width="17.5" style="12" customWidth="1"/>
    <col min="6" max="16384" width="8.9140625" style="12"/>
  </cols>
  <sheetData>
    <row r="1" spans="1:5">
      <c r="A1" s="98" t="s">
        <v>61</v>
      </c>
      <c r="B1" s="98"/>
      <c r="C1" s="98"/>
      <c r="D1" s="98"/>
      <c r="E1" s="98"/>
    </row>
    <row r="2" spans="1:5">
      <c r="A2" s="82" t="s">
        <v>86</v>
      </c>
      <c r="B2" s="82" t="s">
        <v>83</v>
      </c>
      <c r="C2" s="82" t="s">
        <v>79</v>
      </c>
      <c r="D2" s="82" t="s">
        <v>79</v>
      </c>
      <c r="E2" s="82" t="s">
        <v>79</v>
      </c>
    </row>
    <row r="3" spans="1:5">
      <c r="A3" s="99"/>
      <c r="B3" s="99"/>
      <c r="C3" s="97"/>
      <c r="D3" s="97"/>
      <c r="E3" s="97"/>
    </row>
    <row r="4" spans="1:5">
      <c r="A4" s="99"/>
      <c r="B4" s="99"/>
      <c r="C4" s="97"/>
      <c r="D4" s="97"/>
      <c r="E4" s="97"/>
    </row>
    <row r="5" spans="1:5">
      <c r="A5" s="82" t="s">
        <v>79</v>
      </c>
      <c r="B5" s="82" t="s">
        <v>79</v>
      </c>
      <c r="C5" s="82" t="s">
        <v>78</v>
      </c>
      <c r="D5" s="82" t="s">
        <v>78</v>
      </c>
      <c r="E5" s="82" t="s">
        <v>78</v>
      </c>
    </row>
    <row r="6" spans="1:5">
      <c r="A6" s="97"/>
      <c r="B6" s="97"/>
      <c r="C6" s="97"/>
      <c r="D6" s="97"/>
      <c r="E6" s="97"/>
    </row>
    <row r="7" spans="1:5">
      <c r="A7" s="97"/>
      <c r="B7" s="97"/>
      <c r="C7" s="97"/>
      <c r="D7" s="97"/>
      <c r="E7" s="97"/>
    </row>
    <row r="9" spans="1:5">
      <c r="A9" s="100" t="s">
        <v>34</v>
      </c>
      <c r="B9" s="101"/>
    </row>
    <row r="10" spans="1:5">
      <c r="A10" s="31" t="s">
        <v>50</v>
      </c>
      <c r="B10" s="14">
        <f>0</f>
        <v>0</v>
      </c>
    </row>
    <row r="11" spans="1:5">
      <c r="A11" s="31" t="s">
        <v>51</v>
      </c>
      <c r="B11" s="14">
        <f>0</f>
        <v>0</v>
      </c>
    </row>
    <row r="12" spans="1:5">
      <c r="A12" s="32" t="s">
        <v>41</v>
      </c>
      <c r="B12" s="15">
        <f>0</f>
        <v>0</v>
      </c>
    </row>
  </sheetData>
  <sheetProtection algorithmName="SHA-512" hashValue="iWrAqh1VhFexLwznxocVLywY6f4+VL4jJxOiAlHLhEYem+XPx+/u42WhdCcrObk5Zq6UADDRJHDUbxBdXyJWMw==" saltValue="za+v7GdxZ4P5AVqeOHftaQ==" spinCount="100000" sheet="1" selectLockedCells="1"/>
  <mergeCells count="12">
    <mergeCell ref="A9:B9"/>
    <mergeCell ref="A6:A7"/>
    <mergeCell ref="B6:B7"/>
    <mergeCell ref="C6:C7"/>
    <mergeCell ref="D6:D7"/>
    <mergeCell ref="E6:E7"/>
    <mergeCell ref="A1:E1"/>
    <mergeCell ref="A3:A4"/>
    <mergeCell ref="B3:B4"/>
    <mergeCell ref="C3:C4"/>
    <mergeCell ref="D3:D4"/>
    <mergeCell ref="E3:E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0110B-DF3A-4D18-A922-507AA7F1192A}">
  <dimension ref="A1:B13"/>
  <sheetViews>
    <sheetView showGridLines="0" showRowColHeaders="0" zoomScale="40" zoomScaleNormal="40" workbookViewId="0">
      <selection activeCell="B1" sqref="B1"/>
    </sheetView>
  </sheetViews>
  <sheetFormatPr defaultColWidth="8.6640625" defaultRowHeight="48.5"/>
  <cols>
    <col min="1" max="1" width="32.58203125" style="1" customWidth="1"/>
    <col min="2" max="2" width="23.08203125" style="1" customWidth="1"/>
    <col min="3" max="16384" width="8.6640625" style="1"/>
  </cols>
  <sheetData>
    <row r="1" spans="1:2">
      <c r="A1" s="2" t="s">
        <v>10</v>
      </c>
      <c r="B1" s="16"/>
    </row>
    <row r="2" spans="1:2">
      <c r="A2" s="2" t="s">
        <v>11</v>
      </c>
      <c r="B2" s="16"/>
    </row>
    <row r="3" spans="1:2">
      <c r="A3" s="2" t="s">
        <v>12</v>
      </c>
      <c r="B3" s="16"/>
    </row>
    <row r="4" spans="1:2">
      <c r="B4" s="4"/>
    </row>
    <row r="5" spans="1:2">
      <c r="A5" s="3" t="s">
        <v>48</v>
      </c>
      <c r="B5" s="16"/>
    </row>
    <row r="6" spans="1:2">
      <c r="A6" s="3" t="s">
        <v>49</v>
      </c>
      <c r="B6" s="16"/>
    </row>
    <row r="7" spans="1:2">
      <c r="A7" s="2" t="s">
        <v>20</v>
      </c>
      <c r="B7" s="16"/>
    </row>
    <row r="8" spans="1:2">
      <c r="A8" s="2" t="s">
        <v>21</v>
      </c>
      <c r="B8" s="16"/>
    </row>
    <row r="9" spans="1:2">
      <c r="B9" s="4"/>
    </row>
    <row r="10" spans="1:2">
      <c r="A10" s="5" t="s">
        <v>57</v>
      </c>
      <c r="B10" s="17"/>
    </row>
    <row r="11" spans="1:2">
      <c r="A11" s="2" t="s">
        <v>13</v>
      </c>
      <c r="B11" s="16"/>
    </row>
    <row r="12" spans="1:2">
      <c r="A12" s="2" t="s">
        <v>14</v>
      </c>
      <c r="B12" s="2">
        <f>打始!B11-通常時!B17+通常時!B10</f>
        <v>0</v>
      </c>
    </row>
    <row r="13" spans="1:2">
      <c r="A13" s="2" t="s">
        <v>15</v>
      </c>
      <c r="B13" s="16"/>
    </row>
  </sheetData>
  <sheetProtection sheet="1" objects="1" scenarios="1" selectLockedCells="1"/>
  <phoneticPr fontId="1"/>
  <pageMargins left="0.7" right="0.7" top="0.75" bottom="0.75" header="0.3" footer="0.3"/>
  <pageSetup paperSize="4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CB3D-9A79-4A2C-81EC-F406F4FAEC02}">
  <dimension ref="A1:E14"/>
  <sheetViews>
    <sheetView showGridLines="0" showRowColHeaders="0" showZeros="0" zoomScale="40" zoomScaleNormal="40" workbookViewId="0">
      <selection activeCell="D14" sqref="D14"/>
    </sheetView>
  </sheetViews>
  <sheetFormatPr defaultColWidth="8.58203125" defaultRowHeight="48.5"/>
  <cols>
    <col min="1" max="1" width="20.58203125" style="12" customWidth="1"/>
    <col min="2" max="5" width="24.5" style="12" customWidth="1"/>
    <col min="6" max="6" width="23.75" style="12" bestFit="1" customWidth="1"/>
    <col min="7" max="16384" width="8.58203125" style="12"/>
  </cols>
  <sheetData>
    <row r="1" spans="1:5" ht="49" customHeight="1">
      <c r="A1" s="102" t="s">
        <v>16</v>
      </c>
      <c r="B1" s="103"/>
      <c r="C1" s="103"/>
      <c r="D1" s="103"/>
      <c r="E1" s="103"/>
    </row>
    <row r="2" spans="1:5" ht="49" customHeight="1">
      <c r="A2" s="20" t="s">
        <v>54</v>
      </c>
      <c r="B2" s="21">
        <v>1</v>
      </c>
      <c r="C2" s="21">
        <v>0.9</v>
      </c>
      <c r="D2" s="21">
        <v>0.8</v>
      </c>
      <c r="E2" s="22" t="e">
        <f>ROUND(B11,4)*100&amp;"%"</f>
        <v>#DIV/0!</v>
      </c>
    </row>
    <row r="3" spans="1:5" ht="49" customHeight="1">
      <c r="A3" s="23">
        <v>2400</v>
      </c>
      <c r="B3" s="24" t="e">
        <f>(A3*B2*スペック!E22)+(A3*(1-B2)*スペック!F22)</f>
        <v>#DIV/0!</v>
      </c>
      <c r="C3" s="24" t="e">
        <f>(A3*C2*スペック!E22)+(A3*(1-C2)*スペック!F22)</f>
        <v>#DIV/0!</v>
      </c>
      <c r="D3" s="24" t="e">
        <f>(A3*D2*スペック!E22)+(A3*(1-D2)*スペック!F22)</f>
        <v>#DIV/0!</v>
      </c>
      <c r="E3" s="24" t="e">
        <f>(A3*E2*スペック!E22)+(A3*(1-E2)*スペック!F22)</f>
        <v>#DIV/0!</v>
      </c>
    </row>
    <row r="4" spans="1:5" ht="49" customHeight="1">
      <c r="A4" s="23">
        <v>2000</v>
      </c>
      <c r="B4" s="24" t="e">
        <f>(A4*B2*スペック!E22)+(A4*(1-B2)*スペック!F22)</f>
        <v>#DIV/0!</v>
      </c>
      <c r="C4" s="24" t="e">
        <f>(A4*C2*スペック!E22)+(A4*(1-C2)*スペック!F22)</f>
        <v>#DIV/0!</v>
      </c>
      <c r="D4" s="24" t="e">
        <f>(A4*D2*スペック!E22)+(A4*(1-D2)*スペック!F22)</f>
        <v>#DIV/0!</v>
      </c>
      <c r="E4" s="24" t="e">
        <f>(A4*E2*スペック!E22)+(A4*(1-E2)*スペック!F22)</f>
        <v>#DIV/0!</v>
      </c>
    </row>
    <row r="5" spans="1:5" ht="49" customHeight="1">
      <c r="A5" s="23">
        <v>1600</v>
      </c>
      <c r="B5" s="24" t="e">
        <f>(A5*B2*スペック!E22)+(A5*(1-B2)*スペック!F22)</f>
        <v>#DIV/0!</v>
      </c>
      <c r="C5" s="24" t="e">
        <f>(A5*C2*スペック!E22)+(A5*(1-C2)*スペック!F22)</f>
        <v>#DIV/0!</v>
      </c>
      <c r="D5" s="24" t="e">
        <f>(A5*D2*スペック!E22)+(A5*(1-D2)*スペック!F22)</f>
        <v>#DIV/0!</v>
      </c>
      <c r="E5" s="24" t="e">
        <f>(A5*E2*スペック!E22)+(A5*(1-E2)*スペック!F22)</f>
        <v>#DIV/0!</v>
      </c>
    </row>
    <row r="6" spans="1:5" ht="49" customHeight="1"/>
    <row r="7" spans="1:5" ht="49" customHeight="1">
      <c r="A7" s="13" t="s">
        <v>56</v>
      </c>
      <c r="B7" s="85" t="e">
        <f>通常時!B1</f>
        <v>#DIV/0!</v>
      </c>
      <c r="C7" s="13" t="s">
        <v>68</v>
      </c>
      <c r="D7" s="26">
        <f>打始!B13</f>
        <v>0</v>
      </c>
    </row>
    <row r="8" spans="1:5" ht="49" customHeight="1">
      <c r="A8" s="13" t="s">
        <v>1</v>
      </c>
      <c r="B8" s="26" t="e">
        <f>通常時!B3</f>
        <v>#DIV/0!</v>
      </c>
      <c r="C8" s="13" t="s">
        <v>69</v>
      </c>
      <c r="D8" s="26">
        <f>通常時!B20</f>
        <v>0</v>
      </c>
    </row>
    <row r="9" spans="1:5" ht="49" customHeight="1">
      <c r="A9" s="13" t="s">
        <v>2</v>
      </c>
      <c r="B9" s="26" t="e">
        <f>通常時!B4</f>
        <v>#DIV/0!</v>
      </c>
      <c r="C9" s="13" t="s">
        <v>55</v>
      </c>
      <c r="D9" s="26">
        <f>打始!B13-通常時!B20</f>
        <v>0</v>
      </c>
    </row>
    <row r="10" spans="1:5">
      <c r="A10" s="13" t="s">
        <v>53</v>
      </c>
      <c r="B10" s="25" t="e">
        <f>通常時!B11</f>
        <v>#DIV/0!</v>
      </c>
      <c r="C10" s="13" t="s">
        <v>58</v>
      </c>
      <c r="D10" s="27">
        <f ca="1">INDIRECT("打始!B10")</f>
        <v>0</v>
      </c>
    </row>
    <row r="11" spans="1:5">
      <c r="A11" s="13" t="s">
        <v>44</v>
      </c>
      <c r="B11" s="28" t="e">
        <f>通常時!B6</f>
        <v>#DIV/0!</v>
      </c>
      <c r="C11" s="13" t="s">
        <v>63</v>
      </c>
      <c r="D11" s="29">
        <f>打始!B11</f>
        <v>0</v>
      </c>
    </row>
    <row r="12" spans="1:5">
      <c r="A12" s="13" t="s">
        <v>52</v>
      </c>
      <c r="B12" s="86" t="e">
        <f>通常時!B5</f>
        <v>#DIV/0!</v>
      </c>
      <c r="C12" s="13" t="s">
        <v>64</v>
      </c>
      <c r="D12" s="29">
        <f>打始!B11+通常時!B10-実践結果!D14-通常時!B17</f>
        <v>0</v>
      </c>
    </row>
    <row r="13" spans="1:5">
      <c r="C13" s="13" t="s">
        <v>66</v>
      </c>
      <c r="D13" s="29">
        <f>D12-D11</f>
        <v>0</v>
      </c>
    </row>
    <row r="14" spans="1:5">
      <c r="C14" s="13" t="s">
        <v>67</v>
      </c>
      <c r="D14" s="18"/>
      <c r="E14" s="30" t="e">
        <f>実践結果!D14*(1000/打始!B7)</f>
        <v>#DIV/0!</v>
      </c>
    </row>
  </sheetData>
  <sheetProtection algorithmName="SHA-512" hashValue="fjR5P9j9/0jzSqQG57pPaQ2T1dyApMLB8kWl0njba4evhc6E+8SU1/txk6GZoaIabGZCQ4DtUwWjzxa8KBE+Ig==" saltValue="xp0Cg62yUomYX3N5yuw/oQ==" spinCount="100000" sheet="1" selectLockedCells="1"/>
  <mergeCells count="1">
    <mergeCell ref="A1:E1"/>
  </mergeCells>
  <phoneticPr fontId="1"/>
  <pageMargins left="0.7" right="0.7" top="0.75" bottom="0.75" header="0.3" footer="0.3"/>
  <pageSetup paperSize="43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E6C0-59B9-4D4F-963A-054596C02E63}">
  <dimension ref="A1:L15"/>
  <sheetViews>
    <sheetView showGridLines="0" showRowColHeaders="0" tabSelected="1" workbookViewId="0"/>
  </sheetViews>
  <sheetFormatPr defaultColWidth="2.58203125" defaultRowHeight="20"/>
  <cols>
    <col min="1" max="16384" width="2.58203125" style="88"/>
  </cols>
  <sheetData>
    <row r="1" spans="1:12">
      <c r="A1" s="88" t="s">
        <v>87</v>
      </c>
    </row>
    <row r="2" spans="1:12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4" spans="1:12">
      <c r="A4" s="88" t="s">
        <v>89</v>
      </c>
    </row>
    <row r="5" spans="1:12">
      <c r="A5" s="105" t="s">
        <v>90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7" spans="1:12">
      <c r="A7" s="88" t="s">
        <v>91</v>
      </c>
    </row>
    <row r="8" spans="1:12">
      <c r="A8" s="89" t="s">
        <v>92</v>
      </c>
      <c r="B8" s="88" t="s">
        <v>93</v>
      </c>
    </row>
    <row r="9" spans="1:12">
      <c r="A9" s="89"/>
      <c r="B9" s="88" t="s">
        <v>94</v>
      </c>
    </row>
    <row r="10" spans="1:12">
      <c r="A10" s="89" t="s">
        <v>92</v>
      </c>
      <c r="B10" s="88" t="s">
        <v>95</v>
      </c>
    </row>
    <row r="11" spans="1:12">
      <c r="A11" s="89"/>
      <c r="B11" s="88" t="s">
        <v>96</v>
      </c>
    </row>
    <row r="12" spans="1:12">
      <c r="A12" s="89" t="s">
        <v>92</v>
      </c>
      <c r="B12" s="88" t="s">
        <v>97</v>
      </c>
    </row>
    <row r="15" spans="1:12">
      <c r="A15" s="90" t="s">
        <v>98</v>
      </c>
    </row>
  </sheetData>
  <sheetProtection algorithmName="SHA-512" hashValue="n6wLnItO1n7cPkhfM3lz6Kv9xUFLmmYQ4iJRUv/RVhZkQFKfcm8IZfEBcRFcRRWczWdG/VdbMdsliYm+SfFnLA==" saltValue="XkiDD0/FejPyVcNpWwsGkQ==" spinCount="100000" sheet="1" objects="1" scenarios="1"/>
  <mergeCells count="2">
    <mergeCell ref="A2:L2"/>
    <mergeCell ref="A5:K5"/>
  </mergeCells>
  <phoneticPr fontId="1"/>
  <hyperlinks>
    <hyperlink ref="A5" r:id="rId1" xr:uid="{99EE1965-7064-404C-ADBC-D7B8677BA446}"/>
    <hyperlink ref="A2" r:id="rId2" display="http://tkysmoney.com/?p=640" xr:uid="{B455D2FB-ECFD-409A-ABFC-F777EDAB1FF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FE25-6F0D-4C2E-BA78-99DEC54BE35E}">
  <dimension ref="A1:F22"/>
  <sheetViews>
    <sheetView showGridLines="0" zoomScale="40" zoomScaleNormal="40" workbookViewId="0">
      <selection activeCell="B1" sqref="B1"/>
    </sheetView>
  </sheetViews>
  <sheetFormatPr defaultColWidth="20.5" defaultRowHeight="48.5"/>
  <cols>
    <col min="1" max="1" width="27.4140625" style="12" customWidth="1"/>
    <col min="2" max="2" width="19.6640625" style="12" customWidth="1"/>
    <col min="3" max="6" width="29.58203125" style="12" customWidth="1"/>
    <col min="7" max="16384" width="20.5" style="12"/>
  </cols>
  <sheetData>
    <row r="1" spans="1:6">
      <c r="A1" s="50" t="s">
        <v>27</v>
      </c>
      <c r="B1" s="50">
        <v>319.89999999999998</v>
      </c>
      <c r="C1" s="106" t="s">
        <v>32</v>
      </c>
      <c r="D1" s="106"/>
      <c r="E1" s="106"/>
      <c r="F1" s="106"/>
    </row>
    <row r="2" spans="1:6">
      <c r="A2" s="50" t="s">
        <v>28</v>
      </c>
      <c r="B2" s="50">
        <v>69.8</v>
      </c>
      <c r="C2" s="107" t="s">
        <v>33</v>
      </c>
      <c r="D2" s="107"/>
      <c r="E2" s="108" t="s">
        <v>34</v>
      </c>
      <c r="F2" s="108"/>
    </row>
    <row r="3" spans="1:6">
      <c r="A3" s="50" t="s">
        <v>30</v>
      </c>
      <c r="B3" s="50">
        <v>100</v>
      </c>
      <c r="C3" s="51" t="s">
        <v>39</v>
      </c>
      <c r="D3" s="52">
        <f>SUM(D4:D8)</f>
        <v>0.5</v>
      </c>
      <c r="E3" s="51" t="s">
        <v>39</v>
      </c>
      <c r="F3" s="52">
        <f>SUM(F4:F11)</f>
        <v>1</v>
      </c>
    </row>
    <row r="4" spans="1:6">
      <c r="A4" s="50" t="s">
        <v>31</v>
      </c>
      <c r="B4" s="50">
        <v>130</v>
      </c>
      <c r="C4" s="53" t="s">
        <v>82</v>
      </c>
      <c r="D4" s="54">
        <v>0.5</v>
      </c>
      <c r="E4" s="55" t="s">
        <v>84</v>
      </c>
      <c r="F4" s="56">
        <v>0.6</v>
      </c>
    </row>
    <row r="5" spans="1:6">
      <c r="A5" s="57"/>
      <c r="B5" s="58"/>
      <c r="C5" s="55">
        <v>0</v>
      </c>
      <c r="D5" s="56">
        <v>0</v>
      </c>
      <c r="E5" s="59" t="s">
        <v>85</v>
      </c>
      <c r="F5" s="56">
        <v>0.4</v>
      </c>
    </row>
    <row r="6" spans="1:6">
      <c r="A6" s="57"/>
      <c r="B6" s="57"/>
      <c r="C6" s="60">
        <v>0</v>
      </c>
      <c r="D6" s="61">
        <v>0</v>
      </c>
      <c r="E6" s="55">
        <v>0</v>
      </c>
      <c r="F6" s="56">
        <v>0</v>
      </c>
    </row>
    <row r="7" spans="1:6">
      <c r="A7" s="57"/>
      <c r="B7" s="57"/>
      <c r="C7" s="53">
        <v>0</v>
      </c>
      <c r="D7" s="54">
        <v>0</v>
      </c>
      <c r="E7" s="53">
        <v>0</v>
      </c>
      <c r="F7" s="54">
        <v>0</v>
      </c>
    </row>
    <row r="8" spans="1:6" ht="49" thickBot="1">
      <c r="A8" s="57" t="s">
        <v>29</v>
      </c>
      <c r="B8" s="83">
        <f>1-(_xlfn.BINOM.DIST(0,B3,1/B1,0))</f>
        <v>0.26881391833546009</v>
      </c>
      <c r="C8" s="62">
        <v>0</v>
      </c>
      <c r="D8" s="63">
        <v>0</v>
      </c>
      <c r="E8" s="55">
        <v>0</v>
      </c>
      <c r="F8" s="56">
        <v>0</v>
      </c>
    </row>
    <row r="9" spans="1:6">
      <c r="A9" s="57" t="s">
        <v>36</v>
      </c>
      <c r="B9" s="84">
        <f>1-(_xlfn.BINOM.DIST(0,B4,1/B2,0))</f>
        <v>0.84678826536483376</v>
      </c>
      <c r="C9" s="64" t="s">
        <v>83</v>
      </c>
      <c r="D9" s="65">
        <v>0.5</v>
      </c>
      <c r="E9" s="55">
        <v>0</v>
      </c>
      <c r="F9" s="56">
        <v>0</v>
      </c>
    </row>
    <row r="10" spans="1:6">
      <c r="A10" s="57" t="s">
        <v>37</v>
      </c>
      <c r="B10" s="66">
        <f>((1-B8)+(1+B11)*B8)</f>
        <v>2.7545256502419369</v>
      </c>
      <c r="C10" s="50">
        <v>0</v>
      </c>
      <c r="D10" s="67">
        <v>0</v>
      </c>
      <c r="E10" s="68">
        <v>0</v>
      </c>
      <c r="F10" s="69">
        <v>0</v>
      </c>
    </row>
    <row r="11" spans="1:6" ht="49" thickBot="1">
      <c r="A11" s="57" t="s">
        <v>35</v>
      </c>
      <c r="B11" s="70">
        <f>1/(1-B9)</f>
        <v>6.5269152025544193</v>
      </c>
      <c r="C11" s="71">
        <v>0</v>
      </c>
      <c r="D11" s="72">
        <v>0</v>
      </c>
      <c r="E11" s="62">
        <v>0</v>
      </c>
      <c r="F11" s="73">
        <v>0</v>
      </c>
    </row>
    <row r="12" spans="1:6">
      <c r="A12" s="57" t="s">
        <v>38</v>
      </c>
      <c r="B12" s="70">
        <f>B11*SUM(D4:D8)+B10*SUM(D9:D13)</f>
        <v>4.6407204263981781</v>
      </c>
      <c r="C12" s="50">
        <v>0</v>
      </c>
      <c r="D12" s="67">
        <v>0</v>
      </c>
      <c r="E12" s="71">
        <v>0</v>
      </c>
      <c r="F12" s="74">
        <v>0</v>
      </c>
    </row>
    <row r="13" spans="1:6">
      <c r="A13" s="57"/>
      <c r="B13" s="57"/>
      <c r="C13" s="50">
        <v>0</v>
      </c>
      <c r="D13" s="67">
        <v>0</v>
      </c>
      <c r="E13" s="50">
        <v>0</v>
      </c>
      <c r="F13" s="67">
        <v>0</v>
      </c>
    </row>
    <row r="14" spans="1:6">
      <c r="A14" s="57" t="s">
        <v>59</v>
      </c>
      <c r="B14" s="70">
        <f>B17+((B10-1)*B18)</f>
        <v>15.632584681741946</v>
      </c>
      <c r="C14" s="106" t="s">
        <v>23</v>
      </c>
      <c r="D14" s="106"/>
      <c r="E14" s="106"/>
    </row>
    <row r="15" spans="1:6">
      <c r="A15" s="57" t="s">
        <v>60</v>
      </c>
      <c r="B15" s="70">
        <f>B17+((B11-1)*B18)</f>
        <v>42.793789458391821</v>
      </c>
      <c r="C15" s="75"/>
      <c r="D15" s="76" t="s">
        <v>24</v>
      </c>
      <c r="E15" s="76" t="s">
        <v>25</v>
      </c>
    </row>
    <row r="16" spans="1:6">
      <c r="A16" s="57" t="s">
        <v>42</v>
      </c>
      <c r="B16" s="70">
        <f>(B12-1)*B18+B17</f>
        <v>29.213187070066883</v>
      </c>
      <c r="C16" s="75" t="s">
        <v>47</v>
      </c>
      <c r="D16" s="77">
        <f>B1/((B12-1)*B18+B17)</f>
        <v>10.950534059591998</v>
      </c>
      <c r="E16" s="77">
        <f>B1/((B12-1)*B18+B17)</f>
        <v>10.950534059591998</v>
      </c>
    </row>
    <row r="17" spans="1:6">
      <c r="A17" s="57" t="s">
        <v>45</v>
      </c>
      <c r="B17" s="78">
        <f>(LOOKUP(10^17,LEFT(C4,COLUMN(1:1))*1)*D4)+(LOOKUP(10^17,LEFT(C5,COLUMN(1:1))*1)*D5)+(LOOKUP(10^17,LEFT(C6,COLUMN(1:1))*1)*D6)+(LOOKUP(10^17,LEFT(C7,COLUMN(1:1))*1)*D7)+(LOOKUP(10^17,LEFT(C8,COLUMN(1:1))*1)*D8)+(LOOKUP(10^17,LEFT(C9,COLUMN(1:1))*1)*D9)+(LOOKUP(10^17,LEFT(C10,COLUMN(1:1))*1)*D10)+(LOOKUP(10^17,LEFT(C11,COLUMN(1:1))*1)*D11)+(LOOKUP(10^17,LEFT(C12,COLUMN(1:1))*1)*D12)+(LOOKUP(10^17,LEFT(C13,COLUMN(1:1))*1)*D13)</f>
        <v>3</v>
      </c>
      <c r="C17" s="75" t="s">
        <v>26</v>
      </c>
      <c r="D17" s="77" t="e">
        <f>(サポ時!B12+サポ時!B10)/通常時!B12</f>
        <v>#DIV/0!</v>
      </c>
      <c r="E17" s="79">
        <v>140</v>
      </c>
      <c r="F17" s="80" t="s">
        <v>81</v>
      </c>
    </row>
    <row r="18" spans="1:6">
      <c r="A18" s="57" t="s">
        <v>46</v>
      </c>
      <c r="B18" s="78">
        <f>(LOOKUP(10^17,LEFT(E4,COLUMN(1:1))*1)*F4)+(LOOKUP(10^17,LEFT(E5,COLUMN(1:1))*1)*F5)+(LOOKUP(10^17,LEFT(E6,COLUMN(1:1))*1)*F6)+(LOOKUP(10^17,LEFT(E7,COLUMN(1:1))*1)*F7)+(LOOKUP(10^17,LEFT(E8,COLUMN(1:1))*1)*F8)+(LOOKUP(10^17,LEFT(E9,COLUMN(1:1))*1)*F9)+(LOOKUP(10^17,LEFT(E10,COLUMN(1:1))*1)*F10)+(LOOKUP(10^17,LEFT(E11,COLUMN(1:1))*1)*F11)+(LOOKUP(10^17,LEFT(E12,COLUMN(1:1))*1)*F12)+(LOOKUP(10^17,LEFT(E13,COLUMN(1:1))*1)*F13)</f>
        <v>7.2</v>
      </c>
      <c r="C18" s="75" t="s">
        <v>43</v>
      </c>
      <c r="D18" s="77" t="e">
        <f>D17/D16</f>
        <v>#DIV/0!</v>
      </c>
      <c r="E18" s="77">
        <f>E17/E16</f>
        <v>12.784764582086165</v>
      </c>
      <c r="F18" s="81" t="e">
        <f>(通常時!B16*打始!B8+通常時!B17+通常時!B18+MAX(サポ時!B12+サポ時!B10-通常時!B10-通常時!B19,0))/通常時!B8</f>
        <v>#DIV/0!</v>
      </c>
    </row>
    <row r="19" spans="1:6">
      <c r="C19" s="80" t="s">
        <v>70</v>
      </c>
      <c r="D19" s="80" t="s">
        <v>71</v>
      </c>
      <c r="E19" s="80" t="s">
        <v>72</v>
      </c>
      <c r="F19" s="80" t="s">
        <v>73</v>
      </c>
    </row>
    <row r="20" spans="1:6">
      <c r="C20" s="81" t="e">
        <f>(1000/打始!B8)-(1000/打始!B7)</f>
        <v>#DIV/0!</v>
      </c>
      <c r="D20" s="81" t="e">
        <f>(IFERROR(D18,E18))*(1000/打始!B7)</f>
        <v>#DIV/0!</v>
      </c>
      <c r="E20" s="81" t="e">
        <f>F18*(1000/打始!B7)</f>
        <v>#DIV/0!</v>
      </c>
      <c r="F20" s="81" t="e">
        <f>F18*(1000/打始!B8)</f>
        <v>#DIV/0!</v>
      </c>
    </row>
    <row r="21" spans="1:6">
      <c r="C21" s="80" t="s">
        <v>74</v>
      </c>
      <c r="D21" s="80" t="s">
        <v>75</v>
      </c>
      <c r="E21" s="80" t="s">
        <v>76</v>
      </c>
      <c r="F21" s="80" t="s">
        <v>77</v>
      </c>
    </row>
    <row r="22" spans="1:6">
      <c r="C22" s="81" t="e">
        <f>(打始!B7*(1000/打始!B8))/D20</f>
        <v>#DIV/0!</v>
      </c>
      <c r="D22" s="81">
        <f>打始!B7/IFERROR(スペック!D18,スペック!E18)</f>
        <v>0</v>
      </c>
      <c r="E22" s="81" t="e">
        <f>D20-E20</f>
        <v>#DIV/0!</v>
      </c>
      <c r="F22" s="81" t="e">
        <f>D20-F20</f>
        <v>#DIV/0!</v>
      </c>
    </row>
  </sheetData>
  <sheetProtection algorithmName="SHA-512" hashValue="CtEF0NO5+fZnTo/Xwxs3p5Qx6GuG0/GttA4QZotcB/Z9b+6NeiG8SEFAr7mBUUE2MTHR/zOH9sVG38Ja5EP6/w==" saltValue="6iIiJUsVRkN1FPzaFu0TsA==" spinCount="100000" sheet="1" selectLockedCells="1"/>
  <mergeCells count="4">
    <mergeCell ref="C1:F1"/>
    <mergeCell ref="C2:D2"/>
    <mergeCell ref="E2:F2"/>
    <mergeCell ref="C14:E14"/>
  </mergeCells>
  <phoneticPr fontId="1"/>
  <pageMargins left="0.7" right="0.7" top="0.75" bottom="0.75" header="0.3" footer="0.3"/>
  <pageSetup paperSize="4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通常時</vt:lpstr>
      <vt:lpstr>サポ時</vt:lpstr>
      <vt:lpstr>打始</vt:lpstr>
      <vt:lpstr>実践結果</vt:lpstr>
      <vt:lpstr>注意事項</vt:lpstr>
      <vt:lpstr>スペック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</dc:creator>
  <cp:lastModifiedBy>kent</cp:lastModifiedBy>
  <dcterms:created xsi:type="dcterms:W3CDTF">2019-11-09T16:28:02Z</dcterms:created>
  <dcterms:modified xsi:type="dcterms:W3CDTF">2019-12-12T00:04:10Z</dcterms:modified>
</cp:coreProperties>
</file>